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gunavaltere/Dropbox/3 WIT KLIENTI/1 - Jaunie klienti/Wise Vision/2026/01. Raksti un comm/09 Septembris 2026/"/>
    </mc:Choice>
  </mc:AlternateContent>
  <xr:revisionPtr revIDLastSave="0" documentId="13_ncr:1_{51DB92B4-B39B-3D47-92B5-871150D9A527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Kalkulators" sheetId="1" r:id="rId1"/>
    <sheet name="Salidzinajums" sheetId="2" r:id="rId2"/>
    <sheet name="Piezim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7" i="2" l="1"/>
  <c r="B6" i="2"/>
  <c r="B5" i="2"/>
  <c r="B34" i="1"/>
  <c r="D30" i="1"/>
  <c r="C30" i="1"/>
  <c r="B30" i="1"/>
  <c r="D29" i="1"/>
  <c r="C29" i="1"/>
  <c r="B29" i="1"/>
  <c r="D28" i="1"/>
  <c r="C28" i="1"/>
  <c r="B28" i="1"/>
  <c r="C27" i="1"/>
  <c r="B27" i="1"/>
  <c r="B23" i="1"/>
  <c r="D35" i="1" s="1"/>
  <c r="D22" i="1"/>
  <c r="E22" i="1" s="1"/>
  <c r="C21" i="1"/>
  <c r="D21" i="1" s="1"/>
  <c r="B17" i="1"/>
  <c r="B4" i="2" s="1"/>
  <c r="D16" i="1"/>
  <c r="E16" i="1" s="1"/>
  <c r="C15" i="1"/>
  <c r="D15" i="1" s="1"/>
  <c r="E15" i="1" s="1"/>
  <c r="C14" i="1"/>
  <c r="D14" i="1" s="1"/>
  <c r="C31" i="1" l="1"/>
  <c r="C32" i="1"/>
  <c r="D32" i="1"/>
  <c r="B31" i="1"/>
  <c r="D19" i="2"/>
  <c r="F17" i="2"/>
  <c r="B16" i="2"/>
  <c r="C16" i="2" s="1"/>
  <c r="D14" i="2"/>
  <c r="F12" i="2"/>
  <c r="B11" i="2"/>
  <c r="F20" i="2"/>
  <c r="B19" i="2"/>
  <c r="C19" i="2" s="1"/>
  <c r="D17" i="2"/>
  <c r="F15" i="2"/>
  <c r="B14" i="2"/>
  <c r="C14" i="2" s="1"/>
  <c r="D12" i="2"/>
  <c r="F10" i="2"/>
  <c r="C17" i="2"/>
  <c r="D20" i="2"/>
  <c r="F18" i="2"/>
  <c r="B17" i="2"/>
  <c r="D15" i="2"/>
  <c r="F13" i="2"/>
  <c r="B12" i="2"/>
  <c r="C12" i="2" s="1"/>
  <c r="D10" i="2"/>
  <c r="B20" i="2"/>
  <c r="D18" i="2"/>
  <c r="F16" i="2"/>
  <c r="B15" i="2"/>
  <c r="C15" i="2" s="1"/>
  <c r="D13" i="2"/>
  <c r="F11" i="2"/>
  <c r="B10" i="2"/>
  <c r="C10" i="2" s="1"/>
  <c r="F19" i="2"/>
  <c r="B18" i="2"/>
  <c r="D16" i="2"/>
  <c r="F14" i="2"/>
  <c r="B13" i="2"/>
  <c r="C13" i="2" s="1"/>
  <c r="D11" i="2"/>
  <c r="C33" i="1"/>
  <c r="C34" i="1" s="1"/>
  <c r="E21" i="1"/>
  <c r="E23" i="1" s="1"/>
  <c r="B35" i="1" s="1"/>
  <c r="D23" i="1"/>
  <c r="B43" i="1"/>
  <c r="C24" i="2" s="1"/>
  <c r="D33" i="1"/>
  <c r="D34" i="1" s="1"/>
  <c r="E14" i="1"/>
  <c r="D17" i="1"/>
  <c r="B42" i="1"/>
  <c r="C35" i="1"/>
  <c r="C36" i="1" s="1"/>
  <c r="D31" i="1"/>
  <c r="D36" i="1" s="1"/>
  <c r="B40" i="1"/>
  <c r="B41" i="1" s="1"/>
  <c r="B36" i="1" l="1"/>
  <c r="B44" i="1" s="1"/>
  <c r="D37" i="1"/>
  <c r="B46" i="1" s="1"/>
  <c r="C18" i="2"/>
  <c r="E18" i="2" s="1"/>
  <c r="G18" i="2" s="1"/>
  <c r="C20" i="2"/>
  <c r="E20" i="2" s="1"/>
  <c r="G20" i="2" s="1"/>
  <c r="C11" i="2"/>
  <c r="E11" i="2" s="1"/>
  <c r="G11" i="2" s="1"/>
  <c r="E10" i="2"/>
  <c r="G10" i="2" s="1"/>
  <c r="E12" i="2"/>
  <c r="G12" i="2" s="1"/>
  <c r="E14" i="2"/>
  <c r="G14" i="2" s="1"/>
  <c r="E16" i="2"/>
  <c r="G16" i="2" s="1"/>
  <c r="D27" i="1"/>
  <c r="E17" i="1"/>
  <c r="E13" i="2"/>
  <c r="G13" i="2" s="1"/>
  <c r="E15" i="2"/>
  <c r="G15" i="2" s="1"/>
  <c r="E17" i="2"/>
  <c r="G17" i="2" s="1"/>
  <c r="E19" i="2"/>
  <c r="G19" i="2" s="1"/>
  <c r="C37" i="1" l="1"/>
  <c r="B4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5" authorId="0" shapeId="0" xr:uid="{00000000-0006-0000-0000-000001000000}">
      <text>
        <r>
          <rPr>
            <sz val="10"/>
            <color rgb="FF000000"/>
            <rFont val="Arial"/>
            <family val="2"/>
          </rPr>
          <t xml:space="preserve">Standarta likme Latvijā = 21%. Samazinātās likmes: 12% un 5%.
</t>
        </r>
        <r>
          <rPr>
            <sz val="10"/>
            <color rgb="FF000000"/>
            <rFont val="Arial"/>
            <family val="2"/>
          </rPr>
          <t>Ja tavas preces/pakalpojumi ir ar citu likmi, mainī šeit.</t>
        </r>
      </text>
    </comment>
    <comment ref="B6" authorId="0" shapeId="0" xr:uid="{00000000-0006-0000-0000-000002000000}">
      <text>
        <r>
          <rPr>
            <sz val="10"/>
            <color rgb="FF000000"/>
            <rFont val="Arial"/>
            <family val="2"/>
          </rPr>
          <t xml:space="preserve">Latvijā 50 000 EUR kalendāra gadā (2026).
</t>
        </r>
        <r>
          <rPr>
            <sz val="10"/>
            <color rgb="FF000000"/>
            <rFont val="Arial"/>
            <family val="2"/>
          </rPr>
          <t xml:space="preserve">Ja slieksnis pārsniegts ne vairāk kā par 5 000 EUR (kopā līdz 55 000 EUR), reģistrāciju var atlikt uz nākamo gadu.
</t>
        </r>
        <r>
          <rPr>
            <sz val="10"/>
            <color rgb="FF000000"/>
            <rFont val="Arial"/>
            <family val="2"/>
          </rPr>
          <t>Avots: VID / PVN likums.</t>
        </r>
      </text>
    </comment>
    <comment ref="B14" authorId="0" shapeId="0" xr:uid="{00000000-0006-0000-0000-000003000000}">
      <text>
        <r>
          <rPr>
            <sz val="10"/>
            <color rgb="FF000000"/>
            <rFont val="Arial"/>
            <family val="2"/>
          </rPr>
          <t>Privātpersonas nevar atskaitīt priekšnodokli, tāpēc PVN viņiem ir reāls cenas pieaugums. Šis ir galvenais faktors lēmumā.</t>
        </r>
      </text>
    </comment>
    <comment ref="B15" authorId="0" shapeId="0" xr:uid="{00000000-0006-0000-0000-000004000000}">
      <text>
        <r>
          <rPr>
            <sz val="10"/>
            <color rgb="FF000000"/>
            <rFont val="Arial"/>
            <family val="2"/>
          </rPr>
          <t>PVN maksātāji priekšnodokli atgūst, tāpēc PVN viņiem cenu faktiski nesadārdzina.</t>
        </r>
      </text>
    </comment>
    <comment ref="B16" authorId="0" shapeId="0" xr:uid="{00000000-0006-0000-0000-000005000000}">
      <text>
        <r>
          <rPr>
            <sz val="10"/>
            <color rgb="FF000000"/>
            <rFont val="Arial"/>
            <family val="2"/>
          </rPr>
          <t>ES B2B darījumi un eksports — 0% likme, bet priekšnodoklis joprojām atskaitāms. Ja šādu darījumu nav, atstāj 0.</t>
        </r>
      </text>
    </comment>
    <comment ref="B21" authorId="0" shapeId="0" xr:uid="{00000000-0006-0000-0000-000006000000}">
      <text>
        <r>
          <rPr>
            <sz val="10"/>
            <color rgb="FF000000"/>
            <rFont val="Arial"/>
            <family val="2"/>
          </rPr>
          <t>Viss, kur saņem rēķinu ar PVN: materiāli, prece, īre, degviela, IT, apakšuzņēmēji (PVN maksātāji). Ievadi summu BEZ PVN.</t>
        </r>
      </text>
    </comment>
    <comment ref="B22" authorId="0" shapeId="0" xr:uid="{00000000-0006-0000-0000-000007000000}">
      <text>
        <r>
          <rPr>
            <sz val="10"/>
            <color rgb="FF000000"/>
            <rFont val="Arial"/>
            <family val="2"/>
          </rPr>
          <t>Šiem izdevumiem PVN nav, tāpēc PVN statuss tos neietekmē.</t>
        </r>
      </text>
    </comment>
    <comment ref="B43" authorId="0" shapeId="0" xr:uid="{00000000-0006-0000-0000-000008000000}">
      <text>
        <r>
          <rPr>
            <sz val="10"/>
            <color rgb="FF000000"/>
            <rFont val="Arial"/>
            <family val="2"/>
          </rPr>
          <t xml:space="preserve">Līdzsvara punkts: ja privātpersonu daļa ieņēmumos ir MAZĀKA par šo skaitli, PVN maksātāja statuss ir izdevīgāks (pat ja cenu B2C klientiem nepaaugstini). Ja lielāka — izdevīgāk nemaksāt PVN.
</t>
        </r>
        <r>
          <rPr>
            <sz val="10"/>
            <color rgb="FF000000"/>
            <rFont val="Arial"/>
            <family val="2"/>
          </rPr>
          <t xml:space="preserve">
</t>
        </r>
        <r>
          <rPr>
            <sz val="10"/>
            <color rgb="FF000000"/>
            <rFont val="Arial"/>
            <family val="2"/>
          </rPr>
          <t xml:space="preserve">Formūla: atgūstamais PVN </t>
        </r>
        <r>
          <rPr>
            <sz val="10"/>
            <color rgb="FF000000"/>
            <rFont val="Arial"/>
            <family val="2"/>
          </rPr>
          <t>×</t>
        </r>
        <r>
          <rPr>
            <sz val="10"/>
            <color rgb="FF000000"/>
            <rFont val="Arial"/>
            <family val="2"/>
          </rPr>
          <t xml:space="preserve"> (1+likme) / (likme </t>
        </r>
        <r>
          <rPr>
            <sz val="10"/>
            <color rgb="FF000000"/>
            <rFont val="Arial"/>
            <family val="2"/>
          </rPr>
          <t>×</t>
        </r>
        <r>
          <rPr>
            <sz val="10"/>
            <color rgb="FF000000"/>
            <rFont val="Arial"/>
            <family val="2"/>
          </rPr>
          <t xml:space="preserve"> apgrozījums)</t>
        </r>
      </text>
    </comment>
  </commentList>
</comments>
</file>

<file path=xl/sharedStrings.xml><?xml version="1.0" encoding="utf-8"?>
<sst xmlns="http://schemas.openxmlformats.org/spreadsheetml/2006/main" count="98" uniqueCount="92">
  <si>
    <t>PVN izdevīguma kalkulators — Latvija</t>
  </si>
  <si>
    <t>Aizpildi tikai dzeltenās šūnas (zilie cipari). Visas summas ievadi BEZ PVN — PVN un summa ar PVN tiek aprēķināta automātiski.</t>
  </si>
  <si>
    <t>PVN standarta likme Latvijā</t>
  </si>
  <si>
    <t>Obligātās PVN reģistrācijas slieksnis (apgrozījums gadā)</t>
  </si>
  <si>
    <t>Summa BEZ PVN</t>
  </si>
  <si>
    <t>PVN likme</t>
  </si>
  <si>
    <t>PVN summa</t>
  </si>
  <si>
    <t>Summa AR PVN</t>
  </si>
  <si>
    <t>Privātpersonas (B2C) — klienti, kas PVN neatgūst</t>
  </si>
  <si>
    <t>Uzņēmumi Latvijā (B2B) — PVN maksātāji</t>
  </si>
  <si>
    <t>Uzņēmumi ārvalstīs / ES (reversā PVN, 0%)</t>
  </si>
  <si>
    <t>IEŅĒMUMI KOPĀ</t>
  </si>
  <si>
    <t>Izdevumu veids</t>
  </si>
  <si>
    <t>Izdevumi bez PVN (algas, nodokļi, apdrošināšana, banka, procenti)</t>
  </si>
  <si>
    <t>IZDEVUMI KOPĀ</t>
  </si>
  <si>
    <t>4. REZULTĀTS — 3 SCENĀRIJI</t>
  </si>
  <si>
    <t>Rādītājs</t>
  </si>
  <si>
    <t>A. NAV PVN maksātājs</t>
  </si>
  <si>
    <t>B. PVN maksātājs
cena klientam NEMAINĀS</t>
  </si>
  <si>
    <t>C. PVN maksātājs
PVN PIELIKTS VIRSŪ</t>
  </si>
  <si>
    <t>Ko privātpersona samaksā (gala cena)</t>
  </si>
  <si>
    <t>Ieņēmumi bez PVN — privātpersonas</t>
  </si>
  <si>
    <t>Ieņēmumi bez PVN — uzņēmumi LV</t>
  </si>
  <si>
    <t>Ieņēmumi bez PVN — ārvalstis</t>
  </si>
  <si>
    <t>IEŅĒMUMI KOPĀ (bez PVN)</t>
  </si>
  <si>
    <t>Izejošais PVN (no klientiem iekasētais)</t>
  </si>
  <si>
    <t>Priekšnodoklis (atgūstamais PVN no izdevumiem)</t>
  </si>
  <si>
    <t>PVN maksājums valstij gadā</t>
  </si>
  <si>
    <t>Reālie izdevumi (ar neatgūstamo PVN)</t>
  </si>
  <si>
    <t>PEĻŅA pirms UIN</t>
  </si>
  <si>
    <t>Starpība pret scenāriju A</t>
  </si>
  <si>
    <t>5. SECINĀJUMS</t>
  </si>
  <si>
    <t>Apgrozījums gadā (darījumu vērtība bez PVN)</t>
  </si>
  <si>
    <t>Vai PVN reģistrācija ir obligāta?</t>
  </si>
  <si>
    <t>Privātpersonu (B2C) daļa ieņēmumos</t>
  </si>
  <si>
    <t>KRITISKĀ B2C daļa — līdzsvara punkts</t>
  </si>
  <si>
    <t>Vai maksāt PVN ir izdevīgāk? (ja cena klientam nemainās)</t>
  </si>
  <si>
    <t>Peļņas izmaiņa gadā, kļūstot par PVN maksātāju (cena nemainās)</t>
  </si>
  <si>
    <t>Peļņas izmaiņa gadā, ja PVN pieliec cenai virsū</t>
  </si>
  <si>
    <t>Skaidrojums: A = strādā bez PVN, rēķinus izraksta bez PVN, bet nevar atgūt PVN no izdevumiem. B = kļūsti par PVN maksātāju un gala cenu privātpersonām NECĒL (PVN ņem no savas maržas), bet atgūsti priekšnodokli. C = PVN pieliec cenai virsū (klients maksā vairāk).</t>
  </si>
  <si>
    <t>Uzņēmumiem-PVN maksātājiem PVN cenu faktiski nesadārdzina, tāpēc B2B ieņēmumos scenāriji B un C ir vienādi.</t>
  </si>
  <si>
    <t>Peļņa ir pirms uzņēmumu ienākuma nodokļa. Kalkulators ir orientējošs — neaizstāj grāmatveža konsultāciju.</t>
  </si>
  <si>
    <t>Jutīguma tabula — cik daudz maina privātpersonu īpatsvars</t>
  </si>
  <si>
    <t>Kopējais apgrozījums un izdevumi ņemti no lapas "Kalkulators". Mainās tikai tas, cik liela daļa ieņēmumu nāk no privātpersonām (pārējais — no uzņēmumiem LV).</t>
  </si>
  <si>
    <t>Apgrozījums gadā (bez PVN)</t>
  </si>
  <si>
    <t>Izdevumi ar PVN (bez PVN summa)</t>
  </si>
  <si>
    <t>Izdevumi bez PVN</t>
  </si>
  <si>
    <t>B2C daļa</t>
  </si>
  <si>
    <t>Ieņēmumi B2C</t>
  </si>
  <si>
    <t>Ieņēmumi B2B</t>
  </si>
  <si>
    <t>A. Peļņa
bez PVN statusa</t>
  </si>
  <si>
    <t>B. Peļņa
PVN, cena nemainās</t>
  </si>
  <si>
    <t>C. Peļņa
PVN pielikts virsū</t>
  </si>
  <si>
    <t>Izdevīgāk (A pret B)</t>
  </si>
  <si>
    <t>Kā lasīt: kolonna B ir reālistiskākā — privātpersonas reti pieņem 21% cenas kāpumu.</t>
  </si>
  <si>
    <t>Kolonna C (PVN pielikts virsū) vienmēr ir vislabākā uzņēmumam, jo PVN samaksā klients — bet tā ir reāla tikai tad, ja klienti pieņem augstāku cenu.</t>
  </si>
  <si>
    <t>Līdzsvara punkts (kritiskā B2C daļa):</t>
  </si>
  <si>
    <t>Piezīmes, pieņēmumi un avoti</t>
  </si>
  <si>
    <t>KĀ LIETOT</t>
  </si>
  <si>
    <t>1. Lapā "Kalkulators" aizpildi dzeltenās šūnas — tikai tās. Visas summas BEZ PVN.</t>
  </si>
  <si>
    <t>2. Kolonnas "PVN summa" un "Summa AR PVN" aprēķinās pašas.</t>
  </si>
  <si>
    <t>3. Sadaļā 4 salīdzini trīs scenārijus, sadaļā 5 — izlasi secinājumu.</t>
  </si>
  <si>
    <t>4. Lapā "Salidzinajums" redzi, kā rezultāts mainās atkarībā no privātpersonu īpatsvara.</t>
  </si>
  <si>
    <t>SCENĀRIJU LOĢIKA</t>
  </si>
  <si>
    <t>A — Nav PVN maksātājs: rēķinus izraksta bez PVN, bet PVN no izdevumiem nevar atgūt, tāpēc preces un pakalpojumi izmaksā par 21% dārgāk.</t>
  </si>
  <si>
    <t>B — PVN maksātājs, gala cena privātpersonām nemainās: PVN tiek "izņemts" no esošās cenas, ieņēmumi bez PVN samazinās, bet priekšnodoklis kļūst atgūstams.</t>
  </si>
  <si>
    <t>C — PVN maksātājs, PVN pielikts virsū: klients maksā par 21% vairāk, uzņēmuma ieņēmumi bez PVN nemainās, priekšnodoklis atgūstams.</t>
  </si>
  <si>
    <t>GALVENĀ IZŠĶIROŠĀ LIETA</t>
  </si>
  <si>
    <t>Uzņēmumiem, kas paši ir PVN maksātāji, PVN cenu faktiski nesadārdzina — viņi to atgūst. Privātpersonām PVN ir reāls cenas pieaugums. Tāpēc: jo vairāk B2B klientu, jo izdevīgāk būt PVN maksātājam; jo vairāk privātpersonu, jo izdevīgāk nemaksāt PVN.</t>
  </si>
  <si>
    <t>LĪDZSVARA PUNKTA FORMŪLA</t>
  </si>
  <si>
    <t>Kritiskā B2C daļa = atgūstamais PVN × (1 + likme) ÷ (likme × apgrozījums)</t>
  </si>
  <si>
    <t>Ja faktiskā B2C daļa ir mazāka — PVN maksātāja statuss ir izdevīgāks pat bez cenu celšanas.</t>
  </si>
  <si>
    <t>PIEŅĒMUMI</t>
  </si>
  <si>
    <t>• PVN standarta likme 21% (ievadīta šūnā Kalkulators!B5, maināma).</t>
  </si>
  <si>
    <t>• Obligātās reģistrācijas slieksnis 50 000 EUR kalendāra gadā (Kalkulators!B6, maināms).</t>
  </si>
  <si>
    <t>• Peļņa ir pirms uzņēmuma ienākuma nodokļa; algas nodokļi ietilpst rindā "Izdevumi bez PVN".</t>
  </si>
  <si>
    <t>• Netiek atsevišķi modelētas samazinātās likmes (12% / 5%) — ja vajag, mainī likmi rindas kolonnā C.</t>
  </si>
  <si>
    <t>• Netiek ņemta vērā PVN administrēšanas laika/grāmatvedības izmaksa (deklarācijas katru mēnesi).</t>
  </si>
  <si>
    <t>AVOTI</t>
  </si>
  <si>
    <t>PVN likmes un reģistrācijas slieksnis Latvijā 2026: https://balansis.lv/en/blog/vat-registration-latvia-2026</t>
  </si>
  <si>
    <t>PVN likmes 2026: https://gramatvedisriga.lv/en/blog/vat-rates-2026</t>
  </si>
  <si>
    <t>Izmaiņas PVN reģistrācijā: https://lvportals.lv/skaidrojumi/371524-izmainas-pvn-maksataju-registracija-un-registracijas-slieksna-noteiksana-no-2025-gada-2025</t>
  </si>
  <si>
    <t>Šis kalkulators ir orientējošs plānošanas rīks un neaizstāj grāmatveža vai nodokļu konsultanta atzinumu.</t>
  </si>
  <si>
    <t>Klientu veids</t>
  </si>
  <si>
    <t>1. PARAMETRI (pamata PVN nosacījumi, bez izņēmumiem)</t>
  </si>
  <si>
    <t>Komentāri</t>
  </si>
  <si>
    <t>Šo parametru nav nepieciešams mainīt</t>
  </si>
  <si>
    <t>Jūsu uzņēmuma PVN likmes simulācija</t>
  </si>
  <si>
    <t>2. Jūsu uzņēmuma ieņēmumi gadā simulācijas izveidei (Ievadiet aptuvenas summas BEZ PVN)</t>
  </si>
  <si>
    <t>3. Jūsu izdevumi gadā (ievadiet summas BEZ PVN)</t>
  </si>
  <si>
    <t>Preces un pakalpojumi iegādāti Latvijā ar PVN (priekšnodoklis atskaitāms)</t>
  </si>
  <si>
    <t>Aizpildiet ailes tikai tumši zilā krāsā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</si>
</sst>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&quot; €&quot;"/>
  </numFmts>
  <fonts count="21" x14ac:knownFonts="1">
    <font>
      <sz val="11"/>
      <color theme="1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6"/>
      <color rgb="FF1F3864"/>
      <name val="Arial"/>
      <family val="2"/>
    </font>
    <font>
      <i/>
      <sz val="10"/>
      <color rgb="FF595959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name val="Arial"/>
      <family val="2"/>
    </font>
    <font>
      <sz val="10"/>
      <color rgb="FF008000"/>
      <name val="Arial"/>
      <family val="2"/>
    </font>
    <font>
      <sz val="10"/>
      <color rgb="FF000000"/>
      <name val="Arial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30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</font>
    <font>
      <b/>
      <sz val="16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D9E2F3"/>
        <bgColor rgb="FFE2EFDA"/>
      </patternFill>
    </fill>
    <fill>
      <patternFill patternType="solid">
        <fgColor rgb="FFE2EFDA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F2F2F2"/>
      </patternFill>
    </fill>
    <fill>
      <patternFill patternType="solid">
        <fgColor theme="8" tint="0.59999389629810485"/>
        <bgColor rgb="FFE2EFD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 tint="-0.14999847407452621"/>
        <bgColor rgb="FF33333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rgb="FF0B9DB3"/>
        <bgColor rgb="FFF2F2F2"/>
      </patternFill>
    </fill>
    <fill>
      <patternFill patternType="solid">
        <fgColor theme="1"/>
        <bgColor rgb="FFF2F2F2"/>
      </patternFill>
    </fill>
    <fill>
      <patternFill patternType="solid">
        <fgColor theme="8" tint="0.59999389629810485"/>
        <bgColor rgb="FFF2F2F2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/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BFBFBF"/>
      </bottom>
      <diagonal/>
    </border>
    <border>
      <left/>
      <right/>
      <top style="thin">
        <color indexed="64"/>
      </top>
      <bottom style="thin">
        <color rgb="FFBFBFBF"/>
      </bottom>
      <diagonal/>
    </border>
    <border>
      <left/>
      <right style="thin">
        <color indexed="64"/>
      </right>
      <top style="thin">
        <color indexed="64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165" fontId="4" fillId="0" borderId="1" xfId="0" applyNumberFormat="1" applyFont="1" applyBorder="1"/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0" xfId="0" applyFont="1"/>
    <xf numFmtId="165" fontId="7" fillId="0" borderId="1" xfId="0" applyNumberFormat="1" applyFont="1" applyBorder="1"/>
    <xf numFmtId="164" fontId="7" fillId="0" borderId="1" xfId="0" applyNumberFormat="1" applyFont="1" applyBorder="1"/>
    <xf numFmtId="164" fontId="6" fillId="5" borderId="1" xfId="0" applyNumberFormat="1" applyFont="1" applyFill="1" applyBorder="1"/>
    <xf numFmtId="0" fontId="6" fillId="0" borderId="1" xfId="0" applyFont="1" applyBorder="1" applyAlignment="1">
      <alignment horizontal="center"/>
    </xf>
    <xf numFmtId="164" fontId="7" fillId="4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9" borderId="0" xfId="0" applyFill="1"/>
    <xf numFmtId="0" fontId="4" fillId="12" borderId="6" xfId="0" applyFont="1" applyFill="1" applyBorder="1"/>
    <xf numFmtId="0" fontId="4" fillId="12" borderId="8" xfId="0" applyFont="1" applyFill="1" applyBorder="1"/>
    <xf numFmtId="0" fontId="0" fillId="12" borderId="10" xfId="0" applyFill="1" applyBorder="1"/>
    <xf numFmtId="0" fontId="0" fillId="12" borderId="11" xfId="0" applyFill="1" applyBorder="1"/>
    <xf numFmtId="0" fontId="11" fillId="11" borderId="12" xfId="0" applyFont="1" applyFill="1" applyBorder="1"/>
    <xf numFmtId="0" fontId="0" fillId="11" borderId="13" xfId="0" applyFill="1" applyBorder="1"/>
    <xf numFmtId="0" fontId="0" fillId="11" borderId="14" xfId="0" applyFill="1" applyBorder="1"/>
    <xf numFmtId="164" fontId="5" fillId="13" borderId="15" xfId="0" applyNumberFormat="1" applyFont="1" applyFill="1" applyBorder="1"/>
    <xf numFmtId="165" fontId="5" fillId="13" borderId="16" xfId="0" applyNumberFormat="1" applyFont="1" applyFill="1" applyBorder="1"/>
    <xf numFmtId="0" fontId="12" fillId="11" borderId="13" xfId="0" applyFont="1" applyFill="1" applyBorder="1"/>
    <xf numFmtId="0" fontId="13" fillId="12" borderId="3" xfId="0" applyFont="1" applyFill="1" applyBorder="1"/>
    <xf numFmtId="0" fontId="0" fillId="12" borderId="4" xfId="0" applyFill="1" applyBorder="1"/>
    <xf numFmtId="0" fontId="0" fillId="12" borderId="5" xfId="0" applyFill="1" applyBorder="1"/>
    <xf numFmtId="0" fontId="13" fillId="12" borderId="8" xfId="0" applyFont="1" applyFill="1" applyBorder="1"/>
    <xf numFmtId="0" fontId="4" fillId="9" borderId="0" xfId="0" applyFont="1" applyFill="1"/>
    <xf numFmtId="165" fontId="5" fillId="10" borderId="0" xfId="0" applyNumberFormat="1" applyFont="1" applyFill="1"/>
    <xf numFmtId="0" fontId="13" fillId="9" borderId="0" xfId="0" applyFont="1" applyFill="1"/>
    <xf numFmtId="0" fontId="14" fillId="9" borderId="0" xfId="0" applyFont="1" applyFill="1"/>
    <xf numFmtId="0" fontId="1" fillId="0" borderId="0" xfId="0" applyFont="1"/>
    <xf numFmtId="0" fontId="15" fillId="3" borderId="1" xfId="0" applyFont="1" applyFill="1" applyBorder="1" applyAlignment="1">
      <alignment horizontal="center" wrapText="1"/>
    </xf>
    <xf numFmtId="164" fontId="16" fillId="0" borderId="1" xfId="0" applyNumberFormat="1" applyFont="1" applyBorder="1" applyAlignment="1">
      <alignment horizontal="center"/>
    </xf>
    <xf numFmtId="165" fontId="16" fillId="0" borderId="1" xfId="0" applyNumberFormat="1" applyFont="1" applyBorder="1"/>
    <xf numFmtId="164" fontId="17" fillId="2" borderId="1" xfId="0" applyNumberFormat="1" applyFont="1" applyFill="1" applyBorder="1" applyAlignment="1">
      <alignment horizontal="center"/>
    </xf>
    <xf numFmtId="165" fontId="15" fillId="7" borderId="1" xfId="0" applyNumberFormat="1" applyFont="1" applyFill="1" applyBorder="1"/>
    <xf numFmtId="0" fontId="15" fillId="8" borderId="1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left" wrapText="1"/>
    </xf>
    <xf numFmtId="0" fontId="15" fillId="3" borderId="21" xfId="0" applyFont="1" applyFill="1" applyBorder="1" applyAlignment="1">
      <alignment horizontal="center" wrapText="1"/>
    </xf>
    <xf numFmtId="165" fontId="16" fillId="0" borderId="21" xfId="0" applyNumberFormat="1" applyFont="1" applyBorder="1"/>
    <xf numFmtId="0" fontId="15" fillId="7" borderId="22" xfId="0" applyFont="1" applyFill="1" applyBorder="1"/>
    <xf numFmtId="165" fontId="15" fillId="7" borderId="9" xfId="0" applyNumberFormat="1" applyFont="1" applyFill="1" applyBorder="1"/>
    <xf numFmtId="0" fontId="15" fillId="7" borderId="9" xfId="0" applyFont="1" applyFill="1" applyBorder="1"/>
    <xf numFmtId="165" fontId="15" fillId="7" borderId="16" xfId="0" applyNumberFormat="1" applyFont="1" applyFill="1" applyBorder="1"/>
    <xf numFmtId="0" fontId="15" fillId="8" borderId="20" xfId="0" applyFont="1" applyFill="1" applyBorder="1" applyAlignment="1">
      <alignment horizontal="left" vertical="center" wrapText="1"/>
    </xf>
    <xf numFmtId="0" fontId="1" fillId="0" borderId="7" xfId="0" applyFont="1" applyBorder="1"/>
    <xf numFmtId="0" fontId="16" fillId="0" borderId="20" xfId="0" applyFont="1" applyBorder="1"/>
    <xf numFmtId="0" fontId="15" fillId="6" borderId="20" xfId="0" applyFont="1" applyFill="1" applyBorder="1"/>
    <xf numFmtId="0" fontId="16" fillId="0" borderId="22" xfId="0" applyFont="1" applyBorder="1"/>
    <xf numFmtId="165" fontId="16" fillId="0" borderId="9" xfId="0" applyNumberFormat="1" applyFont="1" applyBorder="1"/>
    <xf numFmtId="0" fontId="1" fillId="0" borderId="11" xfId="0" applyFont="1" applyBorder="1"/>
    <xf numFmtId="0" fontId="19" fillId="9" borderId="12" xfId="0" applyFont="1" applyFill="1" applyBorder="1"/>
    <xf numFmtId="0" fontId="18" fillId="3" borderId="17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20" fillId="0" borderId="0" xfId="0" applyFont="1"/>
    <xf numFmtId="165" fontId="9" fillId="14" borderId="2" xfId="0" applyNumberFormat="1" applyFont="1" applyFill="1" applyBorder="1"/>
    <xf numFmtId="165" fontId="9" fillId="14" borderId="20" xfId="0" applyNumberFormat="1" applyFont="1" applyFill="1" applyBorder="1"/>
    <xf numFmtId="165" fontId="9" fillId="14" borderId="1" xfId="0" applyNumberFormat="1" applyFont="1" applyFill="1" applyBorder="1"/>
    <xf numFmtId="165" fontId="10" fillId="14" borderId="1" xfId="0" applyNumberFormat="1" applyFont="1" applyFill="1" applyBorder="1"/>
    <xf numFmtId="165" fontId="6" fillId="16" borderId="1" xfId="0" applyNumberFormat="1" applyFont="1" applyFill="1" applyBorder="1"/>
    <xf numFmtId="0" fontId="6" fillId="16" borderId="23" xfId="0" applyFont="1" applyFill="1" applyBorder="1" applyAlignment="1">
      <alignment horizontal="left"/>
    </xf>
    <xf numFmtId="0" fontId="6" fillId="16" borderId="24" xfId="0" applyFont="1" applyFill="1" applyBorder="1" applyAlignment="1">
      <alignment horizontal="left"/>
    </xf>
    <xf numFmtId="0" fontId="6" fillId="16" borderId="25" xfId="0" applyFont="1" applyFill="1" applyBorder="1" applyAlignment="1">
      <alignment horizontal="left"/>
    </xf>
    <xf numFmtId="164" fontId="6" fillId="16" borderId="1" xfId="0" applyNumberFormat="1" applyFont="1" applyFill="1" applyBorder="1"/>
    <xf numFmtId="0" fontId="6" fillId="16" borderId="1" xfId="0" applyFont="1" applyFill="1" applyBorder="1" applyAlignment="1">
      <alignment horizontal="left"/>
    </xf>
    <xf numFmtId="165" fontId="16" fillId="0" borderId="1" xfId="0" applyNumberFormat="1" applyFont="1" applyFill="1" applyBorder="1"/>
    <xf numFmtId="0" fontId="9" fillId="17" borderId="20" xfId="0" applyFont="1" applyFill="1" applyBorder="1"/>
    <xf numFmtId="165" fontId="9" fillId="1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B9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showGridLines="0" tabSelected="1" zoomScaleNormal="100" workbookViewId="0">
      <pane ySplit="12" topLeftCell="A13" activePane="bottomLeft" state="frozen"/>
      <selection pane="bottomLeft" activeCell="H8" sqref="H8"/>
    </sheetView>
  </sheetViews>
  <sheetFormatPr baseColWidth="10" defaultColWidth="8.6640625" defaultRowHeight="15" x14ac:dyDescent="0.2"/>
  <cols>
    <col min="1" max="1" width="63.33203125" customWidth="1"/>
    <col min="2" max="2" width="27.6640625" customWidth="1"/>
    <col min="3" max="3" width="25.33203125" customWidth="1"/>
    <col min="4" max="4" width="28.1640625" customWidth="1"/>
    <col min="5" max="5" width="18" customWidth="1"/>
    <col min="6" max="6" width="3" customWidth="1"/>
    <col min="7" max="7" width="20" customWidth="1"/>
  </cols>
  <sheetData>
    <row r="1" spans="1:5" ht="24" customHeight="1" x14ac:dyDescent="0.2">
      <c r="A1" s="61" t="s">
        <v>0</v>
      </c>
    </row>
    <row r="2" spans="1:5" x14ac:dyDescent="0.2">
      <c r="A2" s="2" t="s">
        <v>1</v>
      </c>
    </row>
    <row r="4" spans="1:5" ht="19.5" customHeight="1" x14ac:dyDescent="0.2">
      <c r="A4" s="22" t="s">
        <v>84</v>
      </c>
      <c r="B4" s="24"/>
      <c r="C4" s="27" t="s">
        <v>85</v>
      </c>
      <c r="D4" s="23"/>
      <c r="E4" s="24"/>
    </row>
    <row r="5" spans="1:5" x14ac:dyDescent="0.2">
      <c r="A5" s="18" t="s">
        <v>2</v>
      </c>
      <c r="B5" s="25">
        <v>0.21</v>
      </c>
      <c r="C5" s="28" t="s">
        <v>86</v>
      </c>
      <c r="D5" s="29"/>
      <c r="E5" s="30"/>
    </row>
    <row r="6" spans="1:5" x14ac:dyDescent="0.2">
      <c r="A6" s="19" t="s">
        <v>3</v>
      </c>
      <c r="B6" s="26">
        <v>50000</v>
      </c>
      <c r="C6" s="31" t="s">
        <v>86</v>
      </c>
      <c r="D6" s="20"/>
      <c r="E6" s="21"/>
    </row>
    <row r="7" spans="1:5" s="17" customFormat="1" x14ac:dyDescent="0.2">
      <c r="A7" s="32"/>
      <c r="B7" s="33"/>
      <c r="C7" s="34"/>
    </row>
    <row r="8" spans="1:5" s="17" customFormat="1" ht="57" customHeight="1" x14ac:dyDescent="0.45">
      <c r="A8" s="35" t="s">
        <v>87</v>
      </c>
      <c r="B8" s="33"/>
      <c r="C8" s="34"/>
    </row>
    <row r="9" spans="1:5" s="17" customFormat="1" ht="25" customHeight="1" x14ac:dyDescent="0.45">
      <c r="A9" s="35"/>
      <c r="B9" s="33"/>
      <c r="C9" s="34"/>
    </row>
    <row r="10" spans="1:5" s="17" customFormat="1" ht="25" customHeight="1" x14ac:dyDescent="0.25">
      <c r="A10" s="57" t="s">
        <v>91</v>
      </c>
      <c r="B10" s="62"/>
      <c r="C10" s="34"/>
    </row>
    <row r="12" spans="1:5" s="36" customFormat="1" ht="46" customHeight="1" x14ac:dyDescent="0.2">
      <c r="A12" s="58" t="s">
        <v>88</v>
      </c>
      <c r="B12" s="59"/>
      <c r="C12" s="59"/>
      <c r="D12" s="59"/>
      <c r="E12" s="60"/>
    </row>
    <row r="13" spans="1:5" s="36" customFormat="1" ht="17" x14ac:dyDescent="0.2">
      <c r="A13" s="43" t="s">
        <v>83</v>
      </c>
      <c r="B13" s="37" t="s">
        <v>4</v>
      </c>
      <c r="C13" s="37" t="s">
        <v>5</v>
      </c>
      <c r="D13" s="37" t="s">
        <v>6</v>
      </c>
      <c r="E13" s="44" t="s">
        <v>7</v>
      </c>
    </row>
    <row r="14" spans="1:5" s="36" customFormat="1" ht="16" x14ac:dyDescent="0.2">
      <c r="A14" s="63" t="s">
        <v>8</v>
      </c>
      <c r="B14" s="64">
        <v>10000</v>
      </c>
      <c r="C14" s="38">
        <f>$B$5</f>
        <v>0.21</v>
      </c>
      <c r="D14" s="39">
        <f>B14*C14</f>
        <v>2100</v>
      </c>
      <c r="E14" s="45">
        <f>B14+D14</f>
        <v>12100</v>
      </c>
    </row>
    <row r="15" spans="1:5" s="36" customFormat="1" ht="16" x14ac:dyDescent="0.2">
      <c r="A15" s="63" t="s">
        <v>9</v>
      </c>
      <c r="B15" s="64">
        <v>10000</v>
      </c>
      <c r="C15" s="38">
        <f>$B$5</f>
        <v>0.21</v>
      </c>
      <c r="D15" s="39">
        <f>B15*C15</f>
        <v>2100</v>
      </c>
      <c r="E15" s="45">
        <f>B15+D15</f>
        <v>12100</v>
      </c>
    </row>
    <row r="16" spans="1:5" s="36" customFormat="1" ht="16" x14ac:dyDescent="0.2">
      <c r="A16" s="63" t="s">
        <v>10</v>
      </c>
      <c r="B16" s="64">
        <v>0</v>
      </c>
      <c r="C16" s="40">
        <v>0</v>
      </c>
      <c r="D16" s="39">
        <f>B16*C16</f>
        <v>0</v>
      </c>
      <c r="E16" s="45">
        <f>B16+D16</f>
        <v>0</v>
      </c>
    </row>
    <row r="17" spans="1:5" s="36" customFormat="1" ht="16" x14ac:dyDescent="0.2">
      <c r="A17" s="46" t="s">
        <v>11</v>
      </c>
      <c r="B17" s="47">
        <f>SUM(B14:B16)</f>
        <v>20000</v>
      </c>
      <c r="C17" s="48"/>
      <c r="D17" s="47">
        <f>SUM(D14:D16)</f>
        <v>4200</v>
      </c>
      <c r="E17" s="49">
        <f>SUM(E14:E16)</f>
        <v>24200</v>
      </c>
    </row>
    <row r="18" spans="1:5" s="36" customFormat="1" ht="16" x14ac:dyDescent="0.2"/>
    <row r="19" spans="1:5" s="36" customFormat="1" ht="60" customHeight="1" x14ac:dyDescent="0.2">
      <c r="A19" s="58" t="s">
        <v>89</v>
      </c>
      <c r="B19" s="59"/>
      <c r="C19" s="59"/>
      <c r="D19" s="59"/>
      <c r="E19" s="60"/>
    </row>
    <row r="20" spans="1:5" s="36" customFormat="1" ht="17" x14ac:dyDescent="0.2">
      <c r="A20" s="43" t="s">
        <v>12</v>
      </c>
      <c r="B20" s="37" t="s">
        <v>4</v>
      </c>
      <c r="C20" s="37" t="s">
        <v>5</v>
      </c>
      <c r="D20" s="37" t="s">
        <v>6</v>
      </c>
      <c r="E20" s="44" t="s">
        <v>7</v>
      </c>
    </row>
    <row r="21" spans="1:5" s="36" customFormat="1" ht="16" x14ac:dyDescent="0.2">
      <c r="A21" s="63" t="s">
        <v>90</v>
      </c>
      <c r="B21" s="65">
        <v>1000</v>
      </c>
      <c r="C21" s="38">
        <f>$B$5</f>
        <v>0.21</v>
      </c>
      <c r="D21" s="39">
        <f>B21*C21</f>
        <v>210</v>
      </c>
      <c r="E21" s="45">
        <f>B21+D21</f>
        <v>1210</v>
      </c>
    </row>
    <row r="22" spans="1:5" s="36" customFormat="1" ht="16" x14ac:dyDescent="0.2">
      <c r="A22" s="63" t="s">
        <v>13</v>
      </c>
      <c r="B22" s="65">
        <v>10000</v>
      </c>
      <c r="C22" s="38">
        <v>0</v>
      </c>
      <c r="D22" s="39">
        <f>B22*C22</f>
        <v>0</v>
      </c>
      <c r="E22" s="45">
        <f>B22+D22</f>
        <v>10000</v>
      </c>
    </row>
    <row r="23" spans="1:5" s="36" customFormat="1" ht="16" x14ac:dyDescent="0.2">
      <c r="A23" s="46" t="s">
        <v>14</v>
      </c>
      <c r="B23" s="47">
        <f>SUM(B21:B22)</f>
        <v>11000</v>
      </c>
      <c r="C23" s="48"/>
      <c r="D23" s="47">
        <f>SUM(D21:D22)</f>
        <v>210</v>
      </c>
      <c r="E23" s="49">
        <f>SUM(E21:E22)</f>
        <v>11210</v>
      </c>
    </row>
    <row r="24" spans="1:5" s="36" customFormat="1" ht="16" x14ac:dyDescent="0.2"/>
    <row r="25" spans="1:5" s="36" customFormat="1" ht="57" customHeight="1" x14ac:dyDescent="0.2">
      <c r="A25" s="58" t="s">
        <v>15</v>
      </c>
      <c r="B25" s="59"/>
      <c r="C25" s="59"/>
      <c r="D25" s="59"/>
      <c r="E25" s="60"/>
    </row>
    <row r="26" spans="1:5" s="36" customFormat="1" ht="33.75" customHeight="1" x14ac:dyDescent="0.2">
      <c r="A26" s="50" t="s">
        <v>16</v>
      </c>
      <c r="B26" s="42" t="s">
        <v>17</v>
      </c>
      <c r="C26" s="42" t="s">
        <v>18</v>
      </c>
      <c r="D26" s="42" t="s">
        <v>19</v>
      </c>
      <c r="E26" s="51"/>
    </row>
    <row r="27" spans="1:5" s="36" customFormat="1" ht="16" x14ac:dyDescent="0.2">
      <c r="A27" s="52" t="s">
        <v>20</v>
      </c>
      <c r="B27" s="39">
        <f>B14</f>
        <v>10000</v>
      </c>
      <c r="C27" s="39">
        <f>B14</f>
        <v>10000</v>
      </c>
      <c r="D27" s="39">
        <f>E14</f>
        <v>12100</v>
      </c>
      <c r="E27" s="51"/>
    </row>
    <row r="28" spans="1:5" s="36" customFormat="1" ht="16" x14ac:dyDescent="0.2">
      <c r="A28" s="52" t="s">
        <v>21</v>
      </c>
      <c r="B28" s="39">
        <f>B14</f>
        <v>10000</v>
      </c>
      <c r="C28" s="39">
        <f>B14/(1+$B$5)</f>
        <v>8264.4628099173551</v>
      </c>
      <c r="D28" s="39">
        <f>B14</f>
        <v>10000</v>
      </c>
      <c r="E28" s="51"/>
    </row>
    <row r="29" spans="1:5" s="36" customFormat="1" ht="16" x14ac:dyDescent="0.2">
      <c r="A29" s="52" t="s">
        <v>22</v>
      </c>
      <c r="B29" s="39">
        <f>B15</f>
        <v>10000</v>
      </c>
      <c r="C29" s="39">
        <f>B15</f>
        <v>10000</v>
      </c>
      <c r="D29" s="39">
        <f>B15</f>
        <v>10000</v>
      </c>
      <c r="E29" s="51"/>
    </row>
    <row r="30" spans="1:5" s="36" customFormat="1" ht="16" x14ac:dyDescent="0.2">
      <c r="A30" s="52" t="s">
        <v>23</v>
      </c>
      <c r="B30" s="39">
        <f>B16</f>
        <v>0</v>
      </c>
      <c r="C30" s="39">
        <f>B16</f>
        <v>0</v>
      </c>
      <c r="D30" s="39">
        <f>B16</f>
        <v>0</v>
      </c>
      <c r="E30" s="51"/>
    </row>
    <row r="31" spans="1:5" s="36" customFormat="1" ht="16" x14ac:dyDescent="0.2">
      <c r="A31" s="53" t="s">
        <v>24</v>
      </c>
      <c r="B31" s="41">
        <f>SUM(B28:B30)</f>
        <v>20000</v>
      </c>
      <c r="C31" s="41">
        <f>SUM(C28:C30)</f>
        <v>18264.462809917357</v>
      </c>
      <c r="D31" s="41">
        <f>SUM(D28:D30)</f>
        <v>20000</v>
      </c>
      <c r="E31" s="51"/>
    </row>
    <row r="32" spans="1:5" s="36" customFormat="1" ht="16" x14ac:dyDescent="0.2">
      <c r="A32" s="52" t="s">
        <v>25</v>
      </c>
      <c r="B32" s="39">
        <v>0</v>
      </c>
      <c r="C32" s="39">
        <f>(C28+C29)*$B$5</f>
        <v>3835.5371900826449</v>
      </c>
      <c r="D32" s="39">
        <f>(D28+D29)*$B$5</f>
        <v>4200</v>
      </c>
      <c r="E32" s="51"/>
    </row>
    <row r="33" spans="1:5" s="36" customFormat="1" ht="16" x14ac:dyDescent="0.2">
      <c r="A33" s="52" t="s">
        <v>26</v>
      </c>
      <c r="B33" s="39">
        <v>0</v>
      </c>
      <c r="C33" s="39">
        <f>$D$21</f>
        <v>210</v>
      </c>
      <c r="D33" s="39">
        <f>$D$21</f>
        <v>210</v>
      </c>
      <c r="E33" s="51"/>
    </row>
    <row r="34" spans="1:5" s="36" customFormat="1" ht="16" x14ac:dyDescent="0.2">
      <c r="A34" s="52" t="s">
        <v>27</v>
      </c>
      <c r="B34" s="72">
        <f>B32-B33</f>
        <v>0</v>
      </c>
      <c r="C34" s="72">
        <f>C32-C33</f>
        <v>3625.5371900826449</v>
      </c>
      <c r="D34" s="72">
        <f>D32-D33</f>
        <v>3990</v>
      </c>
      <c r="E34" s="51"/>
    </row>
    <row r="35" spans="1:5" s="36" customFormat="1" ht="16" x14ac:dyDescent="0.2">
      <c r="A35" s="53" t="s">
        <v>28</v>
      </c>
      <c r="B35" s="41">
        <f>$E$23</f>
        <v>11210</v>
      </c>
      <c r="C35" s="41">
        <f>$B$23</f>
        <v>11000</v>
      </c>
      <c r="D35" s="41">
        <f>$B$23</f>
        <v>11000</v>
      </c>
      <c r="E35" s="51"/>
    </row>
    <row r="36" spans="1:5" s="36" customFormat="1" ht="16" x14ac:dyDescent="0.2">
      <c r="A36" s="73" t="s">
        <v>29</v>
      </c>
      <c r="B36" s="74">
        <f>B31-B35</f>
        <v>8790</v>
      </c>
      <c r="C36" s="74">
        <f>C31-C35</f>
        <v>7264.4628099173569</v>
      </c>
      <c r="D36" s="74">
        <f>D31-D35</f>
        <v>9000</v>
      </c>
      <c r="E36" s="51"/>
    </row>
    <row r="37" spans="1:5" s="36" customFormat="1" ht="16" x14ac:dyDescent="0.2">
      <c r="A37" s="54" t="s">
        <v>30</v>
      </c>
      <c r="B37" s="55">
        <v>0</v>
      </c>
      <c r="C37" s="55">
        <f>C36-$B$36</f>
        <v>-1525.5371900826431</v>
      </c>
      <c r="D37" s="55">
        <f>D36-$B$36</f>
        <v>210</v>
      </c>
      <c r="E37" s="56"/>
    </row>
    <row r="39" spans="1:5" ht="19.5" customHeight="1" x14ac:dyDescent="0.2">
      <c r="A39" s="58" t="s">
        <v>31</v>
      </c>
      <c r="B39" s="59"/>
      <c r="C39" s="59"/>
      <c r="D39" s="59"/>
      <c r="E39" s="60"/>
    </row>
    <row r="40" spans="1:5" x14ac:dyDescent="0.2">
      <c r="A40" s="5" t="s">
        <v>32</v>
      </c>
      <c r="B40" s="66">
        <f>B17</f>
        <v>20000</v>
      </c>
    </row>
    <row r="41" spans="1:5" x14ac:dyDescent="0.2">
      <c r="A41" s="5" t="s">
        <v>33</v>
      </c>
      <c r="B41" s="67" t="str">
        <f>IF(B40&gt;B6,"JĀ — slieksnis pārsniegts, reģistrācija obligāta","NĒ — reģistrācija ir brīvprātīga izvēle")</f>
        <v>NĒ — reģistrācija ir brīvprātīga izvēle</v>
      </c>
      <c r="C41" s="68"/>
      <c r="D41" s="69"/>
    </row>
    <row r="42" spans="1:5" x14ac:dyDescent="0.2">
      <c r="A42" s="5" t="s">
        <v>34</v>
      </c>
      <c r="B42" s="70">
        <f>IFERROR(B14/B17,0)</f>
        <v>0.5</v>
      </c>
    </row>
    <row r="43" spans="1:5" x14ac:dyDescent="0.2">
      <c r="A43" s="5" t="s">
        <v>35</v>
      </c>
      <c r="B43" s="70">
        <f>IFERROR(D21*(1+B5)/(B5*B17),0)</f>
        <v>6.0499999999999998E-2</v>
      </c>
    </row>
    <row r="44" spans="1:5" x14ac:dyDescent="0.2">
      <c r="A44" s="5" t="s">
        <v>36</v>
      </c>
      <c r="B44" s="71" t="str">
        <f>IF(C36&gt;B36,"JĀ — PVN maksātāja statuss dod lielāku peļņu","NĒ — bez PVN statusa peļņa ir lielāka")</f>
        <v>NĒ — bez PVN statusa peļņa ir lielāka</v>
      </c>
      <c r="C44" s="71"/>
      <c r="D44" s="71"/>
    </row>
    <row r="45" spans="1:5" x14ac:dyDescent="0.2">
      <c r="A45" s="5" t="s">
        <v>37</v>
      </c>
      <c r="B45" s="66">
        <f>C37</f>
        <v>-1525.5371900826431</v>
      </c>
    </row>
    <row r="46" spans="1:5" x14ac:dyDescent="0.2">
      <c r="A46" s="5" t="s">
        <v>38</v>
      </c>
      <c r="B46" s="66">
        <f>D37</f>
        <v>210</v>
      </c>
    </row>
    <row r="48" spans="1:5" x14ac:dyDescent="0.2">
      <c r="A48" s="2" t="s">
        <v>39</v>
      </c>
    </row>
    <row r="49" spans="1:1" x14ac:dyDescent="0.2">
      <c r="A49" s="2" t="s">
        <v>40</v>
      </c>
    </row>
    <row r="50" spans="1:1" x14ac:dyDescent="0.2">
      <c r="A50" s="2" t="s">
        <v>41</v>
      </c>
    </row>
  </sheetData>
  <mergeCells count="6">
    <mergeCell ref="B41:D41"/>
    <mergeCell ref="B44:D44"/>
    <mergeCell ref="A12:E12"/>
    <mergeCell ref="A19:E19"/>
    <mergeCell ref="A25:E25"/>
    <mergeCell ref="A39:E39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showGridLines="0" zoomScaleNormal="100" workbookViewId="0"/>
  </sheetViews>
  <sheetFormatPr baseColWidth="10" defaultColWidth="8.6640625" defaultRowHeight="15" x14ac:dyDescent="0.2"/>
  <cols>
    <col min="1" max="1" width="22" customWidth="1"/>
    <col min="2" max="3" width="20" customWidth="1"/>
    <col min="4" max="6" width="22" customWidth="1"/>
    <col min="7" max="7" width="30" customWidth="1"/>
  </cols>
  <sheetData>
    <row r="1" spans="1:7" ht="20" x14ac:dyDescent="0.2">
      <c r="A1" s="1" t="s">
        <v>42</v>
      </c>
    </row>
    <row r="2" spans="1:7" x14ac:dyDescent="0.2">
      <c r="A2" s="2" t="s">
        <v>43</v>
      </c>
    </row>
    <row r="4" spans="1:7" x14ac:dyDescent="0.2">
      <c r="A4" s="6" t="s">
        <v>44</v>
      </c>
      <c r="B4" s="7">
        <f>Kalkulators!$B$17</f>
        <v>20000</v>
      </c>
    </row>
    <row r="5" spans="1:7" x14ac:dyDescent="0.2">
      <c r="A5" s="6" t="s">
        <v>45</v>
      </c>
      <c r="B5" s="7">
        <f>Kalkulators!$B$21</f>
        <v>1000</v>
      </c>
    </row>
    <row r="6" spans="1:7" x14ac:dyDescent="0.2">
      <c r="A6" s="6" t="s">
        <v>46</v>
      </c>
      <c r="B6" s="7">
        <f>Kalkulators!$B$22</f>
        <v>10000</v>
      </c>
    </row>
    <row r="7" spans="1:7" x14ac:dyDescent="0.2">
      <c r="A7" s="6" t="s">
        <v>5</v>
      </c>
      <c r="B7" s="8">
        <f>Kalkulators!$B$5</f>
        <v>0.21</v>
      </c>
    </row>
    <row r="9" spans="1:7" ht="33.75" customHeight="1" x14ac:dyDescent="0.2">
      <c r="A9" s="4" t="s">
        <v>47</v>
      </c>
      <c r="B9" s="4" t="s">
        <v>48</v>
      </c>
      <c r="C9" s="4" t="s">
        <v>49</v>
      </c>
      <c r="D9" s="4" t="s">
        <v>50</v>
      </c>
      <c r="E9" s="4" t="s">
        <v>51</v>
      </c>
      <c r="F9" s="4" t="s">
        <v>52</v>
      </c>
      <c r="G9" s="4" t="s">
        <v>53</v>
      </c>
    </row>
    <row r="10" spans="1:7" x14ac:dyDescent="0.2">
      <c r="A10" s="9">
        <v>0</v>
      </c>
      <c r="B10" s="3">
        <f t="shared" ref="B10:B20" si="0">$B$4*A10</f>
        <v>0</v>
      </c>
      <c r="C10" s="3">
        <f t="shared" ref="C10:C20" si="1">$B$4-B10</f>
        <v>20000</v>
      </c>
      <c r="D10" s="3">
        <f t="shared" ref="D10:D20" si="2">$B$4-($B$5*(1+$B$7)+$B$6)</f>
        <v>8790</v>
      </c>
      <c r="E10" s="3">
        <f t="shared" ref="E10:E20" si="3">B10/(1+$B$7)+C10-($B$5+$B$6)</f>
        <v>9000</v>
      </c>
      <c r="F10" s="3">
        <f t="shared" ref="F10:F20" si="4">$B$4-($B$5+$B$6)</f>
        <v>9000</v>
      </c>
      <c r="G10" s="10" t="str">
        <f t="shared" ref="G10:G20" si="5">IF(E10&gt;D10,"B — maksāt PVN","A — nemaksāt PVN")</f>
        <v>B — maksāt PVN</v>
      </c>
    </row>
    <row r="11" spans="1:7" x14ac:dyDescent="0.2">
      <c r="A11" s="9">
        <v>0.1</v>
      </c>
      <c r="B11" s="3">
        <f t="shared" si="0"/>
        <v>2000</v>
      </c>
      <c r="C11" s="3">
        <f t="shared" si="1"/>
        <v>18000</v>
      </c>
      <c r="D11" s="3">
        <f t="shared" si="2"/>
        <v>8790</v>
      </c>
      <c r="E11" s="3">
        <f t="shared" si="3"/>
        <v>8652.8925619834699</v>
      </c>
      <c r="F11" s="3">
        <f t="shared" si="4"/>
        <v>9000</v>
      </c>
      <c r="G11" s="10" t="str">
        <f t="shared" si="5"/>
        <v>A — nemaksāt PVN</v>
      </c>
    </row>
    <row r="12" spans="1:7" x14ac:dyDescent="0.2">
      <c r="A12" s="9">
        <v>0.2</v>
      </c>
      <c r="B12" s="3">
        <f t="shared" si="0"/>
        <v>4000</v>
      </c>
      <c r="C12" s="3">
        <f t="shared" si="1"/>
        <v>16000</v>
      </c>
      <c r="D12" s="3">
        <f t="shared" si="2"/>
        <v>8790</v>
      </c>
      <c r="E12" s="3">
        <f t="shared" si="3"/>
        <v>8305.7851239669435</v>
      </c>
      <c r="F12" s="3">
        <f t="shared" si="4"/>
        <v>9000</v>
      </c>
      <c r="G12" s="10" t="str">
        <f t="shared" si="5"/>
        <v>A — nemaksāt PVN</v>
      </c>
    </row>
    <row r="13" spans="1:7" x14ac:dyDescent="0.2">
      <c r="A13" s="9">
        <v>0.3</v>
      </c>
      <c r="B13" s="3">
        <f t="shared" si="0"/>
        <v>6000</v>
      </c>
      <c r="C13" s="3">
        <f t="shared" si="1"/>
        <v>14000</v>
      </c>
      <c r="D13" s="3">
        <f t="shared" si="2"/>
        <v>8790</v>
      </c>
      <c r="E13" s="3">
        <f t="shared" si="3"/>
        <v>7958.6776859504134</v>
      </c>
      <c r="F13" s="3">
        <f t="shared" si="4"/>
        <v>9000</v>
      </c>
      <c r="G13" s="10" t="str">
        <f t="shared" si="5"/>
        <v>A — nemaksāt PVN</v>
      </c>
    </row>
    <row r="14" spans="1:7" x14ac:dyDescent="0.2">
      <c r="A14" s="9">
        <v>0.4</v>
      </c>
      <c r="B14" s="3">
        <f t="shared" si="0"/>
        <v>8000</v>
      </c>
      <c r="C14" s="3">
        <f t="shared" si="1"/>
        <v>12000</v>
      </c>
      <c r="D14" s="3">
        <f t="shared" si="2"/>
        <v>8790</v>
      </c>
      <c r="E14" s="3">
        <f t="shared" si="3"/>
        <v>7611.5702479338834</v>
      </c>
      <c r="F14" s="3">
        <f t="shared" si="4"/>
        <v>9000</v>
      </c>
      <c r="G14" s="10" t="str">
        <f t="shared" si="5"/>
        <v>A — nemaksāt PVN</v>
      </c>
    </row>
    <row r="15" spans="1:7" x14ac:dyDescent="0.2">
      <c r="A15" s="9">
        <v>0.5</v>
      </c>
      <c r="B15" s="3">
        <f t="shared" si="0"/>
        <v>10000</v>
      </c>
      <c r="C15" s="3">
        <f t="shared" si="1"/>
        <v>10000</v>
      </c>
      <c r="D15" s="3">
        <f t="shared" si="2"/>
        <v>8790</v>
      </c>
      <c r="E15" s="3">
        <f t="shared" si="3"/>
        <v>7264.4628099173569</v>
      </c>
      <c r="F15" s="3">
        <f t="shared" si="4"/>
        <v>9000</v>
      </c>
      <c r="G15" s="10" t="str">
        <f t="shared" si="5"/>
        <v>A — nemaksāt PVN</v>
      </c>
    </row>
    <row r="16" spans="1:7" x14ac:dyDescent="0.2">
      <c r="A16" s="9">
        <v>0.6</v>
      </c>
      <c r="B16" s="3">
        <f t="shared" si="0"/>
        <v>12000</v>
      </c>
      <c r="C16" s="3">
        <f t="shared" si="1"/>
        <v>8000</v>
      </c>
      <c r="D16" s="3">
        <f t="shared" si="2"/>
        <v>8790</v>
      </c>
      <c r="E16" s="3">
        <f t="shared" si="3"/>
        <v>6917.3553719008269</v>
      </c>
      <c r="F16" s="3">
        <f t="shared" si="4"/>
        <v>9000</v>
      </c>
      <c r="G16" s="10" t="str">
        <f t="shared" si="5"/>
        <v>A — nemaksāt PVN</v>
      </c>
    </row>
    <row r="17" spans="1:7" x14ac:dyDescent="0.2">
      <c r="A17" s="9">
        <v>0.7</v>
      </c>
      <c r="B17" s="3">
        <f t="shared" si="0"/>
        <v>14000</v>
      </c>
      <c r="C17" s="3">
        <f t="shared" si="1"/>
        <v>6000</v>
      </c>
      <c r="D17" s="3">
        <f t="shared" si="2"/>
        <v>8790</v>
      </c>
      <c r="E17" s="3">
        <f t="shared" si="3"/>
        <v>6570.2479338842968</v>
      </c>
      <c r="F17" s="3">
        <f t="shared" si="4"/>
        <v>9000</v>
      </c>
      <c r="G17" s="10" t="str">
        <f t="shared" si="5"/>
        <v>A — nemaksāt PVN</v>
      </c>
    </row>
    <row r="18" spans="1:7" x14ac:dyDescent="0.2">
      <c r="A18" s="9">
        <v>0.8</v>
      </c>
      <c r="B18" s="3">
        <f t="shared" si="0"/>
        <v>16000</v>
      </c>
      <c r="C18" s="3">
        <f t="shared" si="1"/>
        <v>4000</v>
      </c>
      <c r="D18" s="3">
        <f t="shared" si="2"/>
        <v>8790</v>
      </c>
      <c r="E18" s="3">
        <f t="shared" si="3"/>
        <v>6223.1404958677667</v>
      </c>
      <c r="F18" s="3">
        <f t="shared" si="4"/>
        <v>9000</v>
      </c>
      <c r="G18" s="10" t="str">
        <f t="shared" si="5"/>
        <v>A — nemaksāt PVN</v>
      </c>
    </row>
    <row r="19" spans="1:7" x14ac:dyDescent="0.2">
      <c r="A19" s="9">
        <v>0.9</v>
      </c>
      <c r="B19" s="3">
        <f t="shared" si="0"/>
        <v>18000</v>
      </c>
      <c r="C19" s="3">
        <f t="shared" si="1"/>
        <v>2000</v>
      </c>
      <c r="D19" s="3">
        <f t="shared" si="2"/>
        <v>8790</v>
      </c>
      <c r="E19" s="3">
        <f t="shared" si="3"/>
        <v>5876.0330578512403</v>
      </c>
      <c r="F19" s="3">
        <f t="shared" si="4"/>
        <v>9000</v>
      </c>
      <c r="G19" s="10" t="str">
        <f t="shared" si="5"/>
        <v>A — nemaksāt PVN</v>
      </c>
    </row>
    <row r="20" spans="1:7" x14ac:dyDescent="0.2">
      <c r="A20" s="9">
        <v>1</v>
      </c>
      <c r="B20" s="3">
        <f t="shared" si="0"/>
        <v>20000</v>
      </c>
      <c r="C20" s="3">
        <f t="shared" si="1"/>
        <v>0</v>
      </c>
      <c r="D20" s="3">
        <f t="shared" si="2"/>
        <v>8790</v>
      </c>
      <c r="E20" s="3">
        <f t="shared" si="3"/>
        <v>5528.9256198347102</v>
      </c>
      <c r="F20" s="3">
        <f t="shared" si="4"/>
        <v>9000</v>
      </c>
      <c r="G20" s="10" t="str">
        <f t="shared" si="5"/>
        <v>A — nemaksāt PVN</v>
      </c>
    </row>
    <row r="22" spans="1:7" x14ac:dyDescent="0.2">
      <c r="A22" s="2" t="s">
        <v>54</v>
      </c>
    </row>
    <row r="23" spans="1:7" x14ac:dyDescent="0.2">
      <c r="A23" s="2" t="s">
        <v>55</v>
      </c>
    </row>
    <row r="24" spans="1:7" x14ac:dyDescent="0.2">
      <c r="A24" s="6" t="s">
        <v>56</v>
      </c>
      <c r="C24" s="11">
        <f>Kalkulators!B43</f>
        <v>6.0499999999999998E-2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showGridLines="0" zoomScaleNormal="100" workbookViewId="0"/>
  </sheetViews>
  <sheetFormatPr baseColWidth="10" defaultColWidth="8.6640625" defaultRowHeight="15" x14ac:dyDescent="0.2"/>
  <cols>
    <col min="1" max="1" width="110" customWidth="1"/>
  </cols>
  <sheetData>
    <row r="1" spans="1:1" ht="21" x14ac:dyDescent="0.2">
      <c r="A1" s="12" t="s">
        <v>57</v>
      </c>
    </row>
    <row r="2" spans="1:1" x14ac:dyDescent="0.2">
      <c r="A2" s="13"/>
    </row>
    <row r="3" spans="1:1" x14ac:dyDescent="0.2">
      <c r="A3" s="14" t="s">
        <v>58</v>
      </c>
    </row>
    <row r="4" spans="1:1" x14ac:dyDescent="0.2">
      <c r="A4" s="15" t="s">
        <v>59</v>
      </c>
    </row>
    <row r="5" spans="1:1" x14ac:dyDescent="0.2">
      <c r="A5" s="15" t="s">
        <v>60</v>
      </c>
    </row>
    <row r="6" spans="1:1" x14ac:dyDescent="0.2">
      <c r="A6" s="15" t="s">
        <v>61</v>
      </c>
    </row>
    <row r="7" spans="1:1" x14ac:dyDescent="0.2">
      <c r="A7" s="15" t="s">
        <v>62</v>
      </c>
    </row>
    <row r="8" spans="1:1" x14ac:dyDescent="0.2">
      <c r="A8" s="13"/>
    </row>
    <row r="9" spans="1:1" x14ac:dyDescent="0.2">
      <c r="A9" s="14" t="s">
        <v>63</v>
      </c>
    </row>
    <row r="10" spans="1:1" ht="28" x14ac:dyDescent="0.2">
      <c r="A10" s="15" t="s">
        <v>64</v>
      </c>
    </row>
    <row r="11" spans="1:1" ht="28" x14ac:dyDescent="0.2">
      <c r="A11" s="15" t="s">
        <v>65</v>
      </c>
    </row>
    <row r="12" spans="1:1" ht="28" x14ac:dyDescent="0.2">
      <c r="A12" s="15" t="s">
        <v>66</v>
      </c>
    </row>
    <row r="13" spans="1:1" x14ac:dyDescent="0.2">
      <c r="A13" s="13"/>
    </row>
    <row r="14" spans="1:1" x14ac:dyDescent="0.2">
      <c r="A14" s="14" t="s">
        <v>67</v>
      </c>
    </row>
    <row r="15" spans="1:1" ht="28" x14ac:dyDescent="0.2">
      <c r="A15" s="15" t="s">
        <v>68</v>
      </c>
    </row>
    <row r="16" spans="1:1" x14ac:dyDescent="0.2">
      <c r="A16" s="13"/>
    </row>
    <row r="17" spans="1:1" x14ac:dyDescent="0.2">
      <c r="A17" s="14" t="s">
        <v>69</v>
      </c>
    </row>
    <row r="18" spans="1:1" x14ac:dyDescent="0.2">
      <c r="A18" s="15" t="s">
        <v>70</v>
      </c>
    </row>
    <row r="19" spans="1:1" x14ac:dyDescent="0.2">
      <c r="A19" s="15" t="s">
        <v>71</v>
      </c>
    </row>
    <row r="20" spans="1:1" x14ac:dyDescent="0.2">
      <c r="A20" s="13"/>
    </row>
    <row r="21" spans="1:1" x14ac:dyDescent="0.2">
      <c r="A21" s="14" t="s">
        <v>72</v>
      </c>
    </row>
    <row r="22" spans="1:1" x14ac:dyDescent="0.2">
      <c r="A22" s="15" t="s">
        <v>73</v>
      </c>
    </row>
    <row r="23" spans="1:1" x14ac:dyDescent="0.2">
      <c r="A23" s="15" t="s">
        <v>74</v>
      </c>
    </row>
    <row r="24" spans="1:1" x14ac:dyDescent="0.2">
      <c r="A24" s="15" t="s">
        <v>75</v>
      </c>
    </row>
    <row r="25" spans="1:1" x14ac:dyDescent="0.2">
      <c r="A25" s="15" t="s">
        <v>76</v>
      </c>
    </row>
    <row r="26" spans="1:1" x14ac:dyDescent="0.2">
      <c r="A26" s="15" t="s">
        <v>77</v>
      </c>
    </row>
    <row r="27" spans="1:1" x14ac:dyDescent="0.2">
      <c r="A27" s="13"/>
    </row>
    <row r="28" spans="1:1" x14ac:dyDescent="0.2">
      <c r="A28" s="14" t="s">
        <v>78</v>
      </c>
    </row>
    <row r="29" spans="1:1" x14ac:dyDescent="0.2">
      <c r="A29" s="15" t="s">
        <v>79</v>
      </c>
    </row>
    <row r="30" spans="1:1" x14ac:dyDescent="0.2">
      <c r="A30" s="15" t="s">
        <v>80</v>
      </c>
    </row>
    <row r="31" spans="1:1" ht="28" x14ac:dyDescent="0.2">
      <c r="A31" s="15" t="s">
        <v>81</v>
      </c>
    </row>
    <row r="32" spans="1:1" x14ac:dyDescent="0.2">
      <c r="A32" s="13"/>
    </row>
    <row r="33" spans="1:1" x14ac:dyDescent="0.2">
      <c r="A33" s="16" t="s">
        <v>82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Kalkulators</vt:lpstr>
      <vt:lpstr>Salidzinajums</vt:lpstr>
      <vt:lpstr>Piezimes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Guna Valtere</cp:lastModifiedBy>
  <cp:revision>0</cp:revision>
  <dcterms:created xsi:type="dcterms:W3CDTF">2026-09-09T11:10:39Z</dcterms:created>
  <dcterms:modified xsi:type="dcterms:W3CDTF">2026-09-11T08:46:17Z</dcterms:modified>
  <dc:language>en-US</dc:language>
</cp:coreProperties>
</file>