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lindakimeisa/Library/CloudStorage/Dropbox/3 WIT KLIENTI/1 - Jaunie klienti/Wise Vision/2026/01. Raksti un comm/10. Oktobris 2026/"/>
    </mc:Choice>
  </mc:AlternateContent>
  <xr:revisionPtr revIDLastSave="0" documentId="13_ncr:1_{A00222F7-563E-BE4B-9645-18B64B86AE30}" xr6:coauthVersionLast="47" xr6:coauthVersionMax="47" xr10:uidLastSave="{00000000-0000-0000-0000-000000000000}"/>
  <bookViews>
    <workbookView xWindow="0" yWindow="680" windowWidth="27080" windowHeight="18340" tabRatio="500" activeTab="1" xr2:uid="{00000000-000D-0000-FFFF-FFFF00000000}"/>
  </bookViews>
  <sheets>
    <sheet name="Sākums" sheetId="1" r:id="rId1"/>
    <sheet name="Fiksētās izmaksas" sheetId="2" r:id="rId2"/>
    <sheet name="Cenu aprēķins" sheetId="3" r:id="rId3"/>
    <sheet name="Rezultāti" sheetId="4" r:id="rId4"/>
    <sheet name="Scenāriji" sheetId="5" r:id="rId5"/>
    <sheet name="12 mēnešu plāns"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5" i="6" l="1"/>
  <c r="E20" i="5"/>
  <c r="C41" i="4"/>
  <c r="E41" i="4" s="1"/>
  <c r="B41" i="4"/>
  <c r="C40" i="4"/>
  <c r="E40" i="4" s="1"/>
  <c r="B40" i="4"/>
  <c r="C39" i="4"/>
  <c r="E39" i="4" s="1"/>
  <c r="B39" i="4"/>
  <c r="E38" i="4"/>
  <c r="C38" i="4"/>
  <c r="B38" i="4"/>
  <c r="E37" i="4"/>
  <c r="C37" i="4"/>
  <c r="B37" i="4"/>
  <c r="C36" i="4"/>
  <c r="E36" i="4" s="1"/>
  <c r="B36" i="4"/>
  <c r="C35" i="4"/>
  <c r="E35" i="4" s="1"/>
  <c r="B35" i="4"/>
  <c r="C34" i="4"/>
  <c r="E34" i="4" s="1"/>
  <c r="E42" i="4" s="1"/>
  <c r="B34" i="4"/>
  <c r="E33" i="4"/>
  <c r="C33" i="4"/>
  <c r="B33" i="4"/>
  <c r="E32" i="4"/>
  <c r="C32" i="4"/>
  <c r="C42" i="4" s="1"/>
  <c r="B32" i="4"/>
  <c r="L16" i="3"/>
  <c r="C17" i="3" s="1"/>
  <c r="F16" i="3"/>
  <c r="D16" i="3"/>
  <c r="C16" i="3"/>
  <c r="E15" i="3"/>
  <c r="K15" i="3" s="1"/>
  <c r="E14" i="3"/>
  <c r="K14" i="3" s="1"/>
  <c r="E13" i="3"/>
  <c r="K13" i="3" s="1"/>
  <c r="E12" i="3"/>
  <c r="K12" i="3" s="1"/>
  <c r="K11" i="3"/>
  <c r="E11" i="3"/>
  <c r="G11" i="3" s="1"/>
  <c r="I11" i="3" s="1"/>
  <c r="E10" i="3"/>
  <c r="K10" i="3" s="1"/>
  <c r="E9" i="3"/>
  <c r="K9" i="3" s="1"/>
  <c r="E8" i="3"/>
  <c r="K8" i="3" s="1"/>
  <c r="E7" i="3"/>
  <c r="K7" i="3" s="1"/>
  <c r="E6" i="3"/>
  <c r="K6" i="3" s="1"/>
  <c r="B19" i="2"/>
  <c r="C5" i="4" s="1"/>
  <c r="G7" i="3" l="1"/>
  <c r="G13" i="3"/>
  <c r="G15" i="3"/>
  <c r="G9" i="3"/>
  <c r="I9" i="3" s="1"/>
  <c r="J9" i="3" s="1"/>
  <c r="I7" i="3"/>
  <c r="J7" i="3" s="1"/>
  <c r="I13" i="3"/>
  <c r="J13" i="3" s="1"/>
  <c r="J11" i="3"/>
  <c r="B20" i="2"/>
  <c r="G6" i="3"/>
  <c r="G8" i="3"/>
  <c r="G10" i="3"/>
  <c r="G14" i="3"/>
  <c r="E16" i="3"/>
  <c r="C7" i="4" s="1"/>
  <c r="G12" i="3"/>
  <c r="I15" i="3" l="1"/>
  <c r="J15" i="3" s="1"/>
  <c r="G16" i="3"/>
  <c r="C6" i="4" s="1"/>
  <c r="I6" i="3"/>
  <c r="J6" i="3" s="1"/>
  <c r="B20" i="3" s="1"/>
  <c r="I12" i="3"/>
  <c r="J12" i="3" s="1"/>
  <c r="E7" i="6"/>
  <c r="C20" i="5"/>
  <c r="D7" i="6"/>
  <c r="M7" i="6"/>
  <c r="C7" i="6"/>
  <c r="L7" i="6"/>
  <c r="B7" i="6"/>
  <c r="K7" i="6"/>
  <c r="J7" i="6"/>
  <c r="I7" i="6"/>
  <c r="H7" i="6"/>
  <c r="G7" i="6"/>
  <c r="F7" i="6"/>
  <c r="I14" i="3"/>
  <c r="J14" i="3" s="1"/>
  <c r="I10" i="3"/>
  <c r="J10" i="3" s="1"/>
  <c r="I8" i="3"/>
  <c r="J8" i="3" s="1"/>
  <c r="K16" i="3"/>
  <c r="N7" i="6" l="1"/>
  <c r="H6" i="6"/>
  <c r="H8" i="6" s="1"/>
  <c r="H10" i="6" s="1"/>
  <c r="B13" i="5"/>
  <c r="C13" i="5" s="1"/>
  <c r="B8" i="5"/>
  <c r="C8" i="5" s="1"/>
  <c r="G6" i="6"/>
  <c r="G8" i="6" s="1"/>
  <c r="G10" i="6" s="1"/>
  <c r="B20" i="5"/>
  <c r="D20" i="5" s="1"/>
  <c r="F6" i="6"/>
  <c r="F8" i="6" s="1"/>
  <c r="F10" i="6" s="1"/>
  <c r="B10" i="5"/>
  <c r="C10" i="5" s="1"/>
  <c r="E6" i="6"/>
  <c r="E8" i="6" s="1"/>
  <c r="E10" i="6" s="1"/>
  <c r="C8" i="4"/>
  <c r="D6" i="6"/>
  <c r="D8" i="6" s="1"/>
  <c r="D10" i="6" s="1"/>
  <c r="B12" i="5"/>
  <c r="C12" i="5" s="1"/>
  <c r="B7" i="5"/>
  <c r="C7" i="5" s="1"/>
  <c r="C6" i="6"/>
  <c r="C8" i="6" s="1"/>
  <c r="C10" i="6" s="1"/>
  <c r="M6" i="6"/>
  <c r="M8" i="6" s="1"/>
  <c r="M10" i="6" s="1"/>
  <c r="L6" i="6"/>
  <c r="L8" i="6" s="1"/>
  <c r="L10" i="6" s="1"/>
  <c r="B6" i="6"/>
  <c r="B14" i="5"/>
  <c r="C14" i="5" s="1"/>
  <c r="B9" i="5"/>
  <c r="C9" i="5" s="1"/>
  <c r="K6" i="6"/>
  <c r="K8" i="6" s="1"/>
  <c r="K10" i="6" s="1"/>
  <c r="J6" i="6"/>
  <c r="J8" i="6" s="1"/>
  <c r="J10" i="6" s="1"/>
  <c r="B11" i="5"/>
  <c r="C11" i="5" s="1"/>
  <c r="B6" i="5"/>
  <c r="C6" i="5" s="1"/>
  <c r="I6" i="6"/>
  <c r="I8" i="6" s="1"/>
  <c r="I10" i="6" s="1"/>
  <c r="C25" i="4" l="1"/>
  <c r="C11" i="4"/>
  <c r="C20" i="4"/>
  <c r="C21" i="4" s="1"/>
  <c r="D14" i="5"/>
  <c r="E14" i="5"/>
  <c r="B8" i="6"/>
  <c r="N6" i="6"/>
  <c r="E13" i="5"/>
  <c r="D13" i="5"/>
  <c r="D9" i="5"/>
  <c r="E9" i="5"/>
  <c r="E8" i="5"/>
  <c r="D8" i="5"/>
  <c r="E7" i="5"/>
  <c r="D7" i="5"/>
  <c r="E12" i="5"/>
  <c r="D12" i="5"/>
  <c r="D10" i="5"/>
  <c r="E10" i="5"/>
  <c r="E6" i="5"/>
  <c r="D6" i="5"/>
  <c r="E11" i="5"/>
  <c r="D11" i="5"/>
  <c r="C13" i="4" l="1"/>
  <c r="C12" i="4"/>
  <c r="C15" i="4" s="1"/>
  <c r="D38" i="4"/>
  <c r="D32" i="4"/>
  <c r="D39" i="4"/>
  <c r="D34" i="4"/>
  <c r="B18" i="5"/>
  <c r="A21" i="5" s="1"/>
  <c r="D41" i="4"/>
  <c r="D36" i="4"/>
  <c r="C26" i="4"/>
  <c r="B27" i="4" s="1"/>
  <c r="D33" i="4"/>
  <c r="D37" i="4"/>
  <c r="C14" i="4"/>
  <c r="B15" i="6" s="1"/>
  <c r="D40" i="4"/>
  <c r="D35" i="4"/>
  <c r="B10" i="6"/>
  <c r="B13" i="6" s="1"/>
  <c r="B9" i="6"/>
  <c r="C9" i="6" s="1"/>
  <c r="D9" i="6" s="1"/>
  <c r="E9" i="6" s="1"/>
  <c r="F9" i="6" s="1"/>
  <c r="G9" i="6" s="1"/>
  <c r="H9" i="6" s="1"/>
  <c r="I9" i="6" s="1"/>
  <c r="J9" i="6" s="1"/>
  <c r="K9" i="6" s="1"/>
  <c r="L9" i="6" s="1"/>
  <c r="M9" i="6" s="1"/>
  <c r="N9" i="6" s="1"/>
  <c r="N8" i="6"/>
  <c r="B14" i="6" s="1"/>
  <c r="A22" i="5" l="1"/>
  <c r="C21" i="5"/>
  <c r="B21" i="5"/>
  <c r="D42" i="4"/>
  <c r="B16" i="4"/>
  <c r="D21" i="5" l="1"/>
  <c r="E21" i="5" s="1"/>
  <c r="C22" i="5"/>
  <c r="B22" i="5"/>
  <c r="A23" i="5"/>
  <c r="D22" i="5" l="1"/>
  <c r="E22" i="5" s="1"/>
  <c r="C23" i="5"/>
  <c r="A24" i="5"/>
  <c r="B23" i="5"/>
  <c r="D23" i="5" s="1"/>
  <c r="E23" i="5" s="1"/>
  <c r="C24" i="5" l="1"/>
  <c r="B24" i="5"/>
  <c r="D24" i="5" s="1"/>
  <c r="E24" i="5" s="1"/>
  <c r="A25" i="5"/>
  <c r="C25" i="5" l="1"/>
  <c r="A26" i="5"/>
  <c r="B25" i="5"/>
  <c r="D25" i="5" l="1"/>
  <c r="E25" i="5" s="1"/>
  <c r="C26" i="5"/>
  <c r="B26" i="5"/>
  <c r="D26" i="5" s="1"/>
  <c r="E26" i="5" s="1"/>
  <c r="A27" i="5"/>
  <c r="A28" i="5" l="1"/>
  <c r="C27" i="5"/>
  <c r="B27" i="5"/>
  <c r="D27" i="5" l="1"/>
  <c r="E27" i="5" s="1"/>
  <c r="C28" i="5"/>
  <c r="B28" i="5"/>
  <c r="D28" i="5" s="1"/>
  <c r="E28" i="5" s="1"/>
  <c r="A29" i="5"/>
  <c r="C29" i="5" l="1"/>
  <c r="A30" i="5"/>
  <c r="B29" i="5"/>
  <c r="D29" i="5" s="1"/>
  <c r="E29" i="5" s="1"/>
  <c r="C30" i="5" l="1"/>
  <c r="B30" i="5"/>
  <c r="D30" i="5" s="1"/>
  <c r="E30" i="5" s="1"/>
</calcChain>
</file>

<file path=xl/sharedStrings.xml><?xml version="1.0" encoding="utf-8"?>
<sst xmlns="http://schemas.openxmlformats.org/spreadsheetml/2006/main" count="182" uniqueCount="172">
  <si>
    <t>BEZZAUDĒJUMA PUNKTA KALKULATORS – PAKALPOJUMU SNIEGŠANA</t>
  </si>
  <si>
    <t>Cik jāpārdod, lai nestrādātu ar zaudējumiem – vienkāršā versija. Visi aprēķini ir bez PVN, summas EUR.</t>
  </si>
  <si>
    <t>1. Fiksētās izmaksas</t>
  </si>
  <si>
    <t>2. Cenu aprēķins</t>
  </si>
  <si>
    <t>3. Rezultāti</t>
  </si>
  <si>
    <t>4. Scenāriji</t>
  </si>
  <si>
    <t>5. 12 mēnešu plāns</t>
  </si>
  <si>
    <t>Pašizmaksa</t>
  </si>
  <si>
    <t>Uzcenojums</t>
  </si>
  <si>
    <t>Cena bez PVN</t>
  </si>
  <si>
    <t>Pārdošanas cena</t>
  </si>
  <si>
    <t>Bezzaudējuma punkts</t>
  </si>
  <si>
    <t>Drošības rezerve</t>
  </si>
  <si>
    <t>Par cik procentiem pārdošana drīkst kristies pret plānu, pirms sākas zaudējumi. Jo lielāka, jo mierīgāk.</t>
  </si>
  <si>
    <t>KRĀSAS</t>
  </si>
  <si>
    <t>Melns teksts</t>
  </si>
  <si>
    <t>Aprēķins – nedzēsiet un nerakstiet pāri.</t>
  </si>
  <si>
    <t>Zaļš teksts</t>
  </si>
  <si>
    <t>Skaitlis no citas lapas – nedzēsiet.</t>
  </si>
  <si>
    <t>Galvenie rezultāti.</t>
  </si>
  <si>
    <t>JĀZINA</t>
  </si>
  <si>
    <t>Aprēķinā nav iekļauts uzņēmumu ienākuma nodoklis un klientu apmaksas termiņi (nauda var ienākt vēlāk nekā pārdevums).</t>
  </si>
  <si>
    <t>Modelis pieņem, ka fiksētās izmaksas nemainās, ja pārdošana aug. Ja būs vajadzīgas jaunas telpas vai darbinieki, aprēķiniet no jauna.</t>
  </si>
  <si>
    <t>FIKSĒTĀS IZMAKSAS – kas jāmaksā katru mēnesi, pat ja nekas nav pārdots</t>
  </si>
  <si>
    <t>Izmaksu postenis</t>
  </si>
  <si>
    <t>Summa mēnesī (EUR)</t>
  </si>
  <si>
    <t>Piezīme</t>
  </si>
  <si>
    <t>Telpu noma (birojs, studija)</t>
  </si>
  <si>
    <t>Noma bez PVN</t>
  </si>
  <si>
    <t>Komunālie, internets, telpu uzturēšana</t>
  </si>
  <si>
    <t>Elektrība, ūdens, apkure, sakari</t>
  </si>
  <si>
    <t>Algas ar nodokļiem (visiem darbiniekiem)</t>
  </si>
  <si>
    <t>Alga kopā ar darba devēja nodokļiem – precīzu summu pajautājiet grāmatvedim</t>
  </si>
  <si>
    <t>Grāmatvedība un juridiskie pakalpojumi</t>
  </si>
  <si>
    <t>Programmatūra, licences, profesionālā apdrošināšana</t>
  </si>
  <si>
    <t>CRM, projektu vadība, dizains, atļaujas</t>
  </si>
  <si>
    <t>Bankas komisijas</t>
  </si>
  <si>
    <t>Reklāma un klientu piesaiste</t>
  </si>
  <si>
    <t>Reklāma, saturs, SEO, mājaslapa, pasākumi</t>
  </si>
  <si>
    <t>Transports un komandējumi (pastāvīgā daļa)</t>
  </si>
  <si>
    <t>Kredīta / līzinga maksājumi</t>
  </si>
  <si>
    <t>Iekārtu un tehnikas nolietojums</t>
  </si>
  <si>
    <t>Ja neuzskaitāt, atstājiet 0</t>
  </si>
  <si>
    <t>Citas fiksētās izmaksas</t>
  </si>
  <si>
    <t>KOPĀ FIKSĒTĀS IZMAKSAS MĒNESĪ</t>
  </si>
  <si>
    <t>Kopā gadā</t>
  </si>
  <si>
    <t>CENU APRĒĶINS – no pašizmaksas līdz pārdošanas cenai</t>
  </si>
  <si>
    <t>Nr.</t>
  </si>
  <si>
    <t>Pakalpojuma nosaukums</t>
  </si>
  <si>
    <t>Cik izmaksā sniegt 1 pakalpojumu: darbs, apakšuzņēmēji (EUR)</t>
  </si>
  <si>
    <t>Citas izmaksas uz 1 pakalpojumu: materiāli, rīki, transports u.c. (EUR)</t>
  </si>
  <si>
    <t>PAŠIZMAKSA (EUR)</t>
  </si>
  <si>
    <t>Jūsu UZCENOJUMS (EUR)</t>
  </si>
  <si>
    <t>CENA BEZ PVN (EUR)</t>
  </si>
  <si>
    <t>PVN likme</t>
  </si>
  <si>
    <t>PVN (EUR)</t>
  </si>
  <si>
    <t>PĀRDOŠANAS CENA AR PVN (EUR)</t>
  </si>
  <si>
    <t>Uzcenojums % no pašizmaksas</t>
  </si>
  <si>
    <t>Plānotais pārdošanas īpatsvars %</t>
  </si>
  <si>
    <t>C + D</t>
  </si>
  <si>
    <t>Konsultācija (1 stunda)</t>
  </si>
  <si>
    <t>Projekta pakete (standarta)</t>
  </si>
  <si>
    <t>Ikmēneša uzturēšana (abonements)</t>
  </si>
  <si>
    <t>VIDĒJI (svērti pēc īpatsvara)</t>
  </si>
  <si>
    <t>Īpatsvara pārbaude:</t>
  </si>
  <si>
    <t>KĀ TO LASĪT</t>
  </si>
  <si>
    <t>Ja izmaksu ir daudz (darbs, apakšuzņēmēji, materiāli, transports), saskaitiet tās iepriekš un ierakstiet divas summas – kolonnās „Cik izmaksā sniegt” un „Citas izmaksas”.</t>
  </si>
  <si>
    <t>Īpatsvars = cik procentus no kopējās pārdošanas veido šī pozīcija. Ja pārdodat tikai vienu, ierakstiet 100%. Tas vajadzīgs, lai aprēķinātu vidējo cenu un vidējo pašizmaksu.</t>
  </si>
  <si>
    <t>Visi turpmākie aprēķini izmanto CENU BEZ PVN un PAŠIZMAKSU. PVN kolonnas ir tikai, lai redzētu, cik maksās klientam.</t>
  </si>
  <si>
    <t>REZULTĀTI – cik jāpārdod, lai nestrādātu ar zaudējumiem</t>
  </si>
  <si>
    <t>Šeit nekas nav jārēķina. Ierakstīt var tikai divas zilās šūnas: vēlamo peļņu un plānoto apjomu.</t>
  </si>
  <si>
    <t>Fiksētās izmaksas mēnesī</t>
  </si>
  <si>
    <t>Jāmaksā arī tad, ja nekas nav pārdots</t>
  </si>
  <si>
    <t>Vidējā cena bez PVN</t>
  </si>
  <si>
    <t>Vidējā pašizmaksa</t>
  </si>
  <si>
    <t>Ko atstāj katra pārdošana</t>
  </si>
  <si>
    <t>Cena mīnus pašizmaksa. No šīs summas sedz fiksētās izmaksas, pārējais ir peļņa</t>
  </si>
  <si>
    <t>Jāpārdod MĒNESĪ (pakalpojumi)</t>
  </si>
  <si>
    <t>Ieņēmumi mēnesī (bez PVN)</t>
  </si>
  <si>
    <t>Jāpārdod dienā (pieņemot 22 darba dienas)</t>
  </si>
  <si>
    <t>Jāpārdod GADĀ (pakalpojumi)</t>
  </si>
  <si>
    <t>Ieņēmumi gadā (bez PVN)</t>
  </si>
  <si>
    <t>3. CIK JĀPĀRDOD, LAI NOPELNĪTU</t>
  </si>
  <si>
    <t>Jāpārdod mēnesī (pakalpojumi)</t>
  </si>
  <si>
    <t>4. VAI MANS PLĀNS IR DROŠS?</t>
  </si>
  <si>
    <t>Plānotā peļņa mēnesī</t>
  </si>
  <si>
    <t>Par cik % var kristies pārdošana, pirms sākas zaudējumi</t>
  </si>
  <si>
    <t>Pakalpojums</t>
  </si>
  <si>
    <t>Īpatsvars</t>
  </si>
  <si>
    <t>Jāpārdod mēnesī (bez zaudējuma)</t>
  </si>
  <si>
    <t>Plānotais apjoms mēnesī</t>
  </si>
  <si>
    <t>KOPĀ</t>
  </si>
  <si>
    <t>Formula: jāpārdod = fiksētās izmaksas ÷ (cena bez PVN – pašizmaksa). Kopsumma tabulā var atšķirties no augšējā skaitļa par 1–2 vienībām noapaļošanas dēļ.</t>
  </si>
  <si>
    <t>SCENĀRIJI – ko darīt, ja mainās cena vai pārdotais apjoms</t>
  </si>
  <si>
    <t>Šeit nekas nav jāraksta. Pašizmaksa un fiksētās izmaksas visos scenārijos paliek tādas pašas kā iepriekš.</t>
  </si>
  <si>
    <t>1. JA MAINU CENU (visām cenām reizē)</t>
  </si>
  <si>
    <t>Cenas izmaiņa</t>
  </si>
  <si>
    <t>Jaunā vidējā cena bez PVN</t>
  </si>
  <si>
    <t>Jāpārdod mēnesī, lai nebūtu zaudējumu (pakalpojumi)</t>
  </si>
  <si>
    <t>Peļņa mēnesī pie plānotā apjoma</t>
  </si>
  <si>
    <t>2. JA MAINĀS PĀRDOTAIS APJOMS</t>
  </si>
  <si>
    <t>Solis starp rindām (automātiski):</t>
  </si>
  <si>
    <t>Pārdotais apjoms mēnesī (pakalpojumi)</t>
  </si>
  <si>
    <t>Ieņēmumi (bez PVN)</t>
  </si>
  <si>
    <t>Visi izdevumi (pašizmaksa + fiksētās)</t>
  </si>
  <si>
    <t>Peļņa / zaudējums</t>
  </si>
  <si>
    <t>Rezultāts</t>
  </si>
  <si>
    <t>12 MĒNEŠU PLĀNS – kad sākas peļņa</t>
  </si>
  <si>
    <t>Rādītājs</t>
  </si>
  <si>
    <t>Janvāris</t>
  </si>
  <si>
    <t>Februāris</t>
  </si>
  <si>
    <t>Marts</t>
  </si>
  <si>
    <t>Aprīlis</t>
  </si>
  <si>
    <t>Maijs</t>
  </si>
  <si>
    <t>Jūnijs</t>
  </si>
  <si>
    <t>Jūlijs</t>
  </si>
  <si>
    <t>Augusts</t>
  </si>
  <si>
    <t>Septembris</t>
  </si>
  <si>
    <t>Oktobris</t>
  </si>
  <si>
    <t>Novembris</t>
  </si>
  <si>
    <t>Decembris</t>
  </si>
  <si>
    <t>Plānotais pārdošanas apjoms (pakalpojumi)</t>
  </si>
  <si>
    <t>PEĻŅA / ZAUDĒJUMS MĒNESĪ</t>
  </si>
  <si>
    <t>Uzkrātā peļņa / zaudējums</t>
  </si>
  <si>
    <t>Vai mēnesis ir ar peļņu?</t>
  </si>
  <si>
    <t>KOPSAVILKUMS</t>
  </si>
  <si>
    <t>Pirmais mēnesis ar peļņu</t>
  </si>
  <si>
    <t>Gada peļņa / zaudējums (pirms nodokļiem)</t>
  </si>
  <si>
    <t>Bezzaudējumam vajadzīgais apjoms gadā (pakalpojumi)</t>
  </si>
  <si>
    <t>Piezīme: uzņēmumu ienākuma nodoklis nav ieskaitīts. Par tā ietekmi jautājiet savam grāmatvedim.</t>
  </si>
  <si>
    <t>Lapa</t>
  </si>
  <si>
    <t>Paskaidrojums</t>
  </si>
  <si>
    <t>Ko darīt, ja cenu paceļ vai pazemina? Kas notiek, ja pārdod mazāk vai vairāk? Tabulas un grafiks veic aprēķinu pašas.</t>
  </si>
  <si>
    <t>KĀ LIETOT – 5 SOĻI - 5 lapas</t>
  </si>
  <si>
    <t>Cena bez PVN un ar PVN. To maksā klients. PVN nav uzņēmuma nauda – to nodod valstij, tāpēc aprēķini to neņem vērā.</t>
  </si>
  <si>
    <t>Šeit rakstāt Jūs. Piemēra skaitļi ir tikai piemēram – pārrakstiet tos ar saviem.</t>
  </si>
  <si>
    <t>Balts teksts, gaiši tirkīza krāsas šūna</t>
  </si>
  <si>
    <r>
      <rPr>
        <b/>
        <sz val="14"/>
        <color rgb="FF000000"/>
        <rFont val="Calibri"/>
        <family val="2"/>
        <scheme val="minor"/>
      </rPr>
      <t>Ierakstiet</t>
    </r>
    <r>
      <rPr>
        <sz val="14"/>
        <color rgb="FF000000"/>
        <rFont val="Calibri"/>
        <family val="2"/>
        <scheme val="minor"/>
      </rPr>
      <t>, cik mēnesī maksā uzņēmuma pastāvīgie izdevumi (telpu noma, algas, grāmatvedība, reklāma u.c.). Tie jāmaksā arī tad, ja nekas nav pārdots.</t>
    </r>
  </si>
  <si>
    <r>
      <rPr>
        <b/>
        <sz val="14"/>
        <color rgb="FF000000"/>
        <rFont val="Calibri"/>
        <family val="2"/>
        <scheme val="minor"/>
      </rPr>
      <t>Katram pakalpojumam ierakstiet iepirkuma cenu</t>
    </r>
    <r>
      <rPr>
        <sz val="14"/>
        <color rgb="FF000000"/>
        <rFont val="Calibri"/>
        <family val="2"/>
        <scheme val="minor"/>
      </rPr>
      <t xml:space="preserve"> </t>
    </r>
    <r>
      <rPr>
        <b/>
        <sz val="14"/>
        <color rgb="FF000000"/>
        <rFont val="Calibri"/>
        <family val="2"/>
        <scheme val="minor"/>
      </rPr>
      <t>bez PVN, citas izmaksas un savu uzcenojumu.</t>
    </r>
  </si>
  <si>
    <r>
      <t xml:space="preserve">Bez rakstīšanas redzat galveno atbildi: cik pakalpojumi mēnesī jāpārdod, lai nebūtu zaudējumu. 
</t>
    </r>
    <r>
      <rPr>
        <b/>
        <sz val="14"/>
        <color rgb="FF000000"/>
        <rFont val="Calibri"/>
        <family val="2"/>
        <scheme val="minor"/>
      </rPr>
      <t>Ievadāmas tikai 2 šūnas: vēlamā peļņa un plānotais apjoms.</t>
    </r>
  </si>
  <si>
    <r>
      <rPr>
        <b/>
        <sz val="14"/>
        <color rgb="FF000000"/>
        <rFont val="Calibri"/>
        <family val="2"/>
        <scheme val="minor"/>
      </rPr>
      <t>Ierakstiet plānoto pārdošanu pa mēnešiem</t>
    </r>
    <r>
      <rPr>
        <sz val="14"/>
        <color rgb="FF000000"/>
        <rFont val="Calibri"/>
        <family val="2"/>
        <scheme val="minor"/>
      </rPr>
      <t xml:space="preserve"> – redzēsiet, kurā mēnesī sākas peļņa un kāds būs gada rezultāts.</t>
    </r>
  </si>
  <si>
    <t>Viss, kas jāiztērē, lai sagatavotu / sniegtu vienu pakalpojumu: iepirkuma cena + citas izmaksas (iepakojums, piegāde u.c.).</t>
  </si>
  <si>
    <t>(ierakstiet savu posteni)</t>
  </si>
  <si>
    <t>Šī summa ir jānopelna katru mēnesi, lai nebūtu zaudējumu</t>
  </si>
  <si>
    <t>Ievadiet</t>
  </si>
  <si>
    <t>Ievadiet summu vai 0</t>
  </si>
  <si>
    <t>Ievadiet suumu</t>
  </si>
  <si>
    <t>Atstājiet vai maniet</t>
  </si>
  <si>
    <t>Informatīvi</t>
  </si>
  <si>
    <t>Ievadiet (kopā 100%)</t>
  </si>
  <si>
    <t>Melns fons, balti burti</t>
  </si>
  <si>
    <t>Šis ir plānošanas rīks, kas paredzēts provizoriska finanšu kopskata iegūšanai uzņēmējdarbības plānošanas laikā. Tas neaizstāj profesionālu grāmatvedības vai nodokļu konsultāciju. Rīka aprēķini ir orientējoši un atkarīgi no ievadīto datu precizitātes un izmantotajiem pieņēmumiem.
Pirms uzņēmējdarbības uzsākšanas vai finanšu lēmumu pieņemšanas nepieciešams veikt precīzus aprēķinus, pārbaudīt aktuālās nodokļu un citas piemērojamās prasības, kā arī ņemt vērā konkrētās uzņēmējdarbības izmaksas un apstākļus. Vajadzības gadījumā konsultējieties ar grāmatvedi, nodokļu konsultantu vai uzņēmējdarbības speciālistu.</t>
  </si>
  <si>
    <t>Provizoriski
Aptuveni aprēķini</t>
  </si>
  <si>
    <t>Par terminiem un skaitļiem</t>
  </si>
  <si>
    <t>Drošs = rezerve vismaz 10% (ieteikuma robeža, nevis noteikums).</t>
  </si>
  <si>
    <t>5. KAS JĀPĀRDOD? CIK PAKALPOJUMUI JĀPĀRDOD?</t>
  </si>
  <si>
    <t>Vēlamā peļņa mēnesī</t>
  </si>
  <si>
    <t>Ierakstiet summu</t>
  </si>
  <si>
    <t>Plānotais pārdošanas apjoms mēnesī (pakalpojumi)</t>
  </si>
  <si>
    <t>Melnā rinda = pašreizējā cena. Procentus zilajā kolonnā varat mainīt.</t>
  </si>
  <si>
    <r>
      <rPr>
        <b/>
        <i/>
        <sz val="14"/>
        <color theme="0"/>
        <rFont val="Calibri"/>
        <family val="2"/>
        <scheme val="minor"/>
      </rPr>
      <t xml:space="preserve">Ierakstiet </t>
    </r>
    <r>
      <rPr>
        <i/>
        <sz val="14"/>
        <color theme="0"/>
        <rFont val="Calibri"/>
        <family val="2"/>
        <scheme val="minor"/>
      </rPr>
      <t xml:space="preserve">plānoto pārdošanas apjomu (pakalpojumi) katram mēnesim </t>
    </r>
    <r>
      <rPr>
        <b/>
        <i/>
        <sz val="14"/>
        <color theme="0"/>
        <rFont val="Calibri"/>
        <family val="2"/>
        <scheme val="minor"/>
      </rPr>
      <t>tirkīza krāsas</t>
    </r>
    <r>
      <rPr>
        <i/>
        <sz val="14"/>
        <color theme="0"/>
        <rFont val="Calibri"/>
        <family val="2"/>
        <scheme val="minor"/>
      </rPr>
      <t xml:space="preserve"> rindā. Pārējais aprēķinās pats.</t>
    </r>
  </si>
  <si>
    <t>Ierakstiet līdz 10 pakalpojumus zilajās šūnās. Pirmās trīs rindas ir piemērs – pārrakstiet tās. Baltās krāsas kolonnas aprēķinās pašas.</t>
  </si>
  <si>
    <t>Pakalbojums B</t>
  </si>
  <si>
    <t>Summa EUR, ko jūs pieliekat pakalpojuma pašizmaksai. No tās tiek segtas fiksētās izmaksas. Tas, kas paliek pāri, ir peļņa.</t>
  </si>
  <si>
    <t>Pašizmaksa + uzcenojums. Tie ir uzņēmuma ieņēmumi no viena pakalpojuma sniegšanas.</t>
  </si>
  <si>
    <t>Ierakstiet summas mēnesī (bez PVN) tirkīza zilajās šūnās. Ja posteņa nav, atstājiet 0. Trīs pēdējās rindas ir jūsu pašu posteņiem.</t>
  </si>
  <si>
    <t>Cena × PVN likme</t>
  </si>
  <si>
    <t>Pašizmaksa + uzcenojums</t>
  </si>
  <si>
    <t>Cena bez PVN + PVN</t>
  </si>
  <si>
    <t>2. BEZZAUDĒJUMA PUNKTS
Cik jāpārdod, lai nebūtu ne peļņas, ne zaudējuma</t>
  </si>
  <si>
    <t>1. MANI SKAITĻI
Paņemti no iepriekšējām lapām</t>
  </si>
  <si>
    <t>Cik pakalpojumi mēnesī jāpārdod, lai ieņēmumi tieši nosegtu visas izmaksas: nav ne peļņas, ne zaudējuma. Katrs pārdotais pakalpojums virs šī apjoma palielina peļņu.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</si>
</sst>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quot; €&quot;;[Red]\-#,##0.00&quot; €&quot;"/>
    <numFmt numFmtId="165" formatCode="#,##0.00&quot; €&quot;;[Red]\-#,##0.00&quot; €&quot;;;@"/>
    <numFmt numFmtId="166" formatCode="0%;[Red]\-0%"/>
    <numFmt numFmtId="167" formatCode="0%;[Red]\-0%;;@"/>
    <numFmt numFmtId="168" formatCode="#,##0;[Red]\-#,##0"/>
    <numFmt numFmtId="169" formatCode="#,##0;[Red]\-#,##0;;@"/>
    <numFmt numFmtId="170" formatCode="\+0%;\-0%;&quot;tagad&quot;"/>
    <numFmt numFmtId="171" formatCode="#,##0&quot; €&quot;;[Red]\-#,##0&quot; €&quot;"/>
  </numFmts>
  <fonts count="24" x14ac:knownFonts="1">
    <font>
      <sz val="11"/>
      <color theme="1"/>
      <name val="Calibri"/>
      <family val="2"/>
      <charset val="1"/>
    </font>
    <font>
      <sz val="12"/>
      <color theme="1"/>
      <name val="Calibri"/>
      <family val="2"/>
      <scheme val="minor"/>
    </font>
    <font>
      <i/>
      <sz val="12"/>
      <color rgb="FF595959"/>
      <name val="Calibri"/>
      <family val="2"/>
      <scheme val="minor"/>
    </font>
    <font>
      <b/>
      <sz val="12"/>
      <color rgb="FF1F3864"/>
      <name val="Calibri"/>
      <family val="2"/>
      <scheme val="minor"/>
    </font>
    <font>
      <b/>
      <sz val="14"/>
      <color theme="1"/>
      <name val="Calibri"/>
      <family val="2"/>
      <scheme val="minor"/>
    </font>
    <font>
      <b/>
      <sz val="14"/>
      <color rgb="FF1F3864"/>
      <name val="Calibri"/>
      <family val="2"/>
      <scheme val="minor"/>
    </font>
    <font>
      <sz val="14"/>
      <color rgb="FF000000"/>
      <name val="Calibri"/>
      <family val="2"/>
      <scheme val="minor"/>
    </font>
    <font>
      <b/>
      <sz val="14"/>
      <color rgb="FF000000"/>
      <name val="Calibri"/>
      <family val="2"/>
      <scheme val="minor"/>
    </font>
    <font>
      <b/>
      <sz val="14"/>
      <color theme="0"/>
      <name val="Calibri"/>
      <family val="2"/>
      <scheme val="minor"/>
    </font>
    <font>
      <b/>
      <sz val="14"/>
      <color rgb="FF008000"/>
      <name val="Calibri"/>
      <family val="2"/>
      <scheme val="minor"/>
    </font>
    <font>
      <sz val="14"/>
      <color theme="1"/>
      <name val="Calibri"/>
      <family val="2"/>
      <scheme val="minor"/>
    </font>
    <font>
      <i/>
      <sz val="14"/>
      <color rgb="FF595959"/>
      <name val="Calibri"/>
      <family val="2"/>
      <scheme val="minor"/>
    </font>
    <font>
      <i/>
      <sz val="14"/>
      <color rgb="FF7F7F7F"/>
      <name val="Calibri"/>
      <family val="2"/>
      <scheme val="minor"/>
    </font>
    <font>
      <sz val="14"/>
      <color rgb="FF0000FF"/>
      <name val="Calibri"/>
      <family val="2"/>
      <scheme val="minor"/>
    </font>
    <font>
      <sz val="14"/>
      <color theme="0"/>
      <name val="Calibri"/>
      <family val="2"/>
      <scheme val="minor"/>
    </font>
    <font>
      <sz val="11"/>
      <color theme="1"/>
      <name val="Calibri"/>
      <family val="2"/>
      <scheme val="minor"/>
    </font>
    <font>
      <sz val="14"/>
      <color rgb="FF008000"/>
      <name val="Calibri"/>
      <family val="2"/>
      <scheme val="minor"/>
    </font>
    <font>
      <b/>
      <sz val="16"/>
      <color theme="0"/>
      <name val="Calibri"/>
      <family val="2"/>
      <scheme val="minor"/>
    </font>
    <font>
      <b/>
      <sz val="20"/>
      <color theme="1"/>
      <name val="Calibri"/>
      <family val="2"/>
      <scheme val="minor"/>
    </font>
    <font>
      <b/>
      <sz val="16"/>
      <color theme="1"/>
      <name val="Calibri"/>
      <family val="2"/>
      <scheme val="minor"/>
    </font>
    <font>
      <sz val="16"/>
      <color theme="1"/>
      <name val="Calibri"/>
      <family val="2"/>
      <scheme val="minor"/>
    </font>
    <font>
      <i/>
      <sz val="14"/>
      <color theme="1"/>
      <name val="Calibri"/>
      <family val="2"/>
      <scheme val="minor"/>
    </font>
    <font>
      <b/>
      <i/>
      <sz val="14"/>
      <color theme="0"/>
      <name val="Calibri"/>
      <family val="2"/>
      <scheme val="minor"/>
    </font>
    <font>
      <i/>
      <sz val="14"/>
      <color theme="0"/>
      <name val="Calibri"/>
      <family val="2"/>
      <scheme val="minor"/>
    </font>
  </fonts>
  <fills count="11">
    <fill>
      <patternFill patternType="none"/>
    </fill>
    <fill>
      <patternFill patternType="gray125"/>
    </fill>
    <fill>
      <patternFill patternType="solid">
        <fgColor rgb="FFBDD7EE"/>
        <bgColor rgb="FFD9D9D9"/>
      </patternFill>
    </fill>
    <fill>
      <patternFill patternType="solid">
        <fgColor rgb="FFD9E2F3"/>
        <bgColor rgb="FFD9D9D9"/>
      </patternFill>
    </fill>
    <fill>
      <patternFill patternType="solid">
        <fgColor theme="0"/>
        <bgColor rgb="FF333333"/>
      </patternFill>
    </fill>
    <fill>
      <patternFill patternType="solid">
        <fgColor rgb="FF0B9DB3"/>
        <bgColor rgb="FFD9E2F3"/>
      </patternFill>
    </fill>
    <fill>
      <patternFill patternType="solid">
        <fgColor rgb="FFD9E2F3"/>
        <bgColor rgb="FF333333"/>
      </patternFill>
    </fill>
    <fill>
      <patternFill patternType="solid">
        <fgColor theme="1"/>
        <bgColor rgb="FFEAF1FB"/>
      </patternFill>
    </fill>
    <fill>
      <patternFill patternType="solid">
        <fgColor rgb="FF0B9DB3"/>
        <bgColor indexed="64"/>
      </patternFill>
    </fill>
    <fill>
      <patternFill patternType="solid">
        <fgColor rgb="FF0D94A9"/>
        <bgColor rgb="FFD9E2F3"/>
      </patternFill>
    </fill>
    <fill>
      <patternFill patternType="solid">
        <fgColor theme="0"/>
        <bgColor rgb="FFD9D9D9"/>
      </patternFill>
    </fill>
  </fills>
  <borders count="45">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diagonal/>
    </border>
    <border>
      <left/>
      <right style="thin">
        <color rgb="FFBFBFBF"/>
      </right>
      <top style="thin">
        <color rgb="FFBFBFBF"/>
      </top>
      <bottom style="thin">
        <color rgb="FFBFBFBF"/>
      </bottom>
      <diagonal/>
    </border>
    <border>
      <left style="thin">
        <color indexed="64"/>
      </left>
      <right style="thin">
        <color indexed="64"/>
      </right>
      <top style="thin">
        <color indexed="64"/>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indexed="64"/>
      </right>
      <top style="thin">
        <color rgb="FFBFBFBF"/>
      </top>
      <bottom style="thin">
        <color indexed="64"/>
      </bottom>
      <diagonal/>
    </border>
    <border>
      <left style="thin">
        <color indexed="64"/>
      </left>
      <right style="thin">
        <color indexed="64"/>
      </right>
      <top style="thin">
        <color rgb="FFBFBFBF"/>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BFBFBF"/>
      </top>
      <bottom style="thin">
        <color rgb="FFBFBFBF"/>
      </bottom>
      <diagonal/>
    </border>
    <border>
      <left/>
      <right/>
      <top style="thin">
        <color rgb="FFBFBFBF"/>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FBFBF"/>
      </left>
      <right style="thin">
        <color rgb="FFBFBFBF"/>
      </right>
      <top/>
      <bottom style="thin">
        <color rgb="FFBFBFBF"/>
      </bottom>
      <diagonal/>
    </border>
    <border>
      <left style="thin">
        <color indexed="64"/>
      </left>
      <right/>
      <top style="thin">
        <color indexed="64"/>
      </top>
      <bottom/>
      <diagonal/>
    </border>
    <border>
      <left style="thin">
        <color rgb="FFBFBFBF"/>
      </left>
      <right style="thin">
        <color indexed="64"/>
      </right>
      <top style="thin">
        <color indexed="64"/>
      </top>
      <bottom style="thin">
        <color rgb="FFBFBFBF"/>
      </bottom>
      <diagonal/>
    </border>
    <border>
      <left style="thin">
        <color indexed="64"/>
      </left>
      <right/>
      <top/>
      <bottom/>
      <diagonal/>
    </border>
    <border>
      <left style="thin">
        <color rgb="FFBFBFBF"/>
      </left>
      <right style="thin">
        <color indexed="64"/>
      </right>
      <top style="thin">
        <color rgb="FFBFBFBF"/>
      </top>
      <bottom style="thin">
        <color rgb="FFBFBFBF"/>
      </bottom>
      <diagonal/>
    </border>
    <border>
      <left style="thin">
        <color indexed="64"/>
      </left>
      <right/>
      <top/>
      <bottom style="thin">
        <color indexed="64"/>
      </bottom>
      <diagonal/>
    </border>
    <border>
      <left style="thin">
        <color rgb="FFBFBFBF"/>
      </left>
      <right style="thin">
        <color indexed="64"/>
      </right>
      <top style="thin">
        <color rgb="FFBFBFBF"/>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rgb="FFBFBFBF"/>
      </right>
      <top style="thin">
        <color indexed="64"/>
      </top>
      <bottom style="thin">
        <color rgb="FFBFBFBF"/>
      </bottom>
      <diagonal/>
    </border>
    <border>
      <left style="thin">
        <color rgb="FFBFBFBF"/>
      </left>
      <right style="thin">
        <color rgb="FFBFBFBF"/>
      </right>
      <top style="thin">
        <color indexed="64"/>
      </top>
      <bottom style="thin">
        <color rgb="FFBFBFBF"/>
      </bottom>
      <diagonal/>
    </border>
    <border>
      <left/>
      <right style="thin">
        <color rgb="FFBFBFBF"/>
      </right>
      <top style="thin">
        <color rgb="FFBFBFBF"/>
      </top>
      <bottom style="thin">
        <color indexed="64"/>
      </bottom>
      <diagonal/>
    </border>
    <border>
      <left style="thin">
        <color rgb="FFBFBFBF"/>
      </left>
      <right style="thin">
        <color rgb="FFBFBFBF"/>
      </right>
      <top style="thin">
        <color rgb="FFBFBFBF"/>
      </top>
      <bottom style="thin">
        <color indexed="64"/>
      </bottom>
      <diagonal/>
    </border>
    <border>
      <left style="thin">
        <color indexed="64"/>
      </left>
      <right style="thin">
        <color rgb="FFBFBFBF"/>
      </right>
      <top style="thin">
        <color rgb="FFBFBFBF"/>
      </top>
      <bottom style="thin">
        <color rgb="FFBFBFBF"/>
      </bottom>
      <diagonal/>
    </border>
    <border>
      <left style="thin">
        <color indexed="64"/>
      </left>
      <right style="thin">
        <color rgb="FFBFBFBF"/>
      </right>
      <top style="thin">
        <color rgb="FFBFBFBF"/>
      </top>
      <bottom style="thin">
        <color indexed="64"/>
      </bottom>
      <diagonal/>
    </border>
    <border>
      <left style="thin">
        <color indexed="64"/>
      </left>
      <right style="thin">
        <color rgb="FFBFBFBF"/>
      </right>
      <top/>
      <bottom style="thin">
        <color rgb="FFBFBFBF"/>
      </bottom>
      <diagonal/>
    </border>
    <border>
      <left style="thin">
        <color rgb="FFBFBFBF"/>
      </left>
      <right style="thin">
        <color indexed="64"/>
      </right>
      <top/>
      <bottom style="thin">
        <color rgb="FFBFBFBF"/>
      </bottom>
      <diagonal/>
    </border>
    <border>
      <left style="thin">
        <color indexed="64"/>
      </left>
      <right style="thin">
        <color rgb="FFBFBFBF"/>
      </right>
      <top style="thin">
        <color indexed="64"/>
      </top>
      <bottom style="thin">
        <color rgb="FFBFBFBF"/>
      </bottom>
      <diagonal/>
    </border>
    <border>
      <left style="thin">
        <color indexed="64"/>
      </left>
      <right style="thin">
        <color rgb="FFBFBFBF"/>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right style="thin">
        <color rgb="FFBFBFBF"/>
      </right>
      <top/>
      <bottom style="thin">
        <color rgb="FFBFBFBF"/>
      </bottom>
      <diagonal/>
    </border>
    <border>
      <left/>
      <right style="thin">
        <color rgb="FFBFBFBF"/>
      </right>
      <top style="thin">
        <color indexed="64"/>
      </top>
      <bottom style="thin">
        <color indexed="64"/>
      </bottom>
      <diagonal/>
    </border>
    <border>
      <left style="thin">
        <color indexed="64"/>
      </left>
      <right style="thin">
        <color rgb="FFBFBFBF"/>
      </right>
      <top style="thin">
        <color rgb="FFBFBFBF"/>
      </top>
      <bottom/>
      <diagonal/>
    </border>
    <border>
      <left style="thin">
        <color rgb="FFBFBFBF"/>
      </left>
      <right style="thin">
        <color indexed="64"/>
      </right>
      <top style="thin">
        <color rgb="FFBFBFBF"/>
      </top>
      <bottom/>
      <diagonal/>
    </border>
    <border>
      <left/>
      <right/>
      <top/>
      <bottom style="thin">
        <color rgb="FFBFBFBF"/>
      </bottom>
      <diagonal/>
    </border>
    <border>
      <left style="thin">
        <color indexed="64"/>
      </left>
      <right style="thin">
        <color indexed="64"/>
      </right>
      <top/>
      <bottom style="thin">
        <color rgb="FFBFBFBF"/>
      </bottom>
      <diagonal/>
    </border>
  </borders>
  <cellStyleXfs count="1">
    <xf numFmtId="0" fontId="0" fillId="0" borderId="0"/>
  </cellStyleXfs>
  <cellXfs count="183">
    <xf numFmtId="0" fontId="0" fillId="0" borderId="0" xfId="0"/>
    <xf numFmtId="0" fontId="2" fillId="0" borderId="0" xfId="0" applyFont="1"/>
    <xf numFmtId="0" fontId="1" fillId="0" borderId="0" xfId="0" applyFont="1"/>
    <xf numFmtId="0" fontId="8" fillId="5" borderId="2" xfId="0" applyFont="1" applyFill="1" applyBorder="1" applyAlignment="1">
      <alignment vertical="top" wrapText="1"/>
    </xf>
    <xf numFmtId="0" fontId="6" fillId="0" borderId="2" xfId="0" applyFont="1" applyBorder="1" applyAlignment="1">
      <alignment vertical="top" wrapText="1"/>
    </xf>
    <xf numFmtId="0" fontId="7" fillId="0" borderId="2" xfId="0" applyFont="1" applyBorder="1" applyAlignment="1">
      <alignment vertical="top" wrapText="1"/>
    </xf>
    <xf numFmtId="0" fontId="9" fillId="0" borderId="2" xfId="0" applyFont="1" applyBorder="1" applyAlignment="1">
      <alignment vertical="top" wrapText="1"/>
    </xf>
    <xf numFmtId="0" fontId="5" fillId="0" borderId="0" xfId="0" applyFont="1"/>
    <xf numFmtId="0" fontId="10" fillId="0" borderId="0" xfId="0" applyFont="1"/>
    <xf numFmtId="0" fontId="11" fillId="0" borderId="0" xfId="0" applyFont="1"/>
    <xf numFmtId="0" fontId="6" fillId="0" borderId="0" xfId="0" applyFont="1"/>
    <xf numFmtId="164" fontId="7" fillId="0" borderId="1" xfId="0" applyNumberFormat="1" applyFont="1" applyBorder="1"/>
    <xf numFmtId="0" fontId="6" fillId="0" borderId="2" xfId="0" applyFont="1" applyBorder="1"/>
    <xf numFmtId="0" fontId="8" fillId="5" borderId="6" xfId="0" applyFont="1" applyFill="1" applyBorder="1" applyAlignment="1">
      <alignment vertical="top" wrapText="1"/>
    </xf>
    <xf numFmtId="0" fontId="6" fillId="0" borderId="6" xfId="0" applyFont="1" applyBorder="1"/>
    <xf numFmtId="0" fontId="8" fillId="5" borderId="8" xfId="0" applyFont="1" applyFill="1" applyBorder="1" applyAlignment="1">
      <alignment vertical="top" wrapText="1"/>
    </xf>
    <xf numFmtId="0" fontId="7" fillId="0" borderId="9" xfId="0" applyFont="1" applyBorder="1"/>
    <xf numFmtId="164" fontId="7" fillId="0" borderId="9" xfId="0" applyNumberFormat="1" applyFont="1" applyBorder="1"/>
    <xf numFmtId="0" fontId="6" fillId="0" borderId="7" xfId="0" applyFont="1" applyBorder="1"/>
    <xf numFmtId="0" fontId="7" fillId="0" borderId="6" xfId="0" applyFont="1" applyBorder="1"/>
    <xf numFmtId="0" fontId="7" fillId="0" borderId="0" xfId="0" applyFont="1"/>
    <xf numFmtId="0" fontId="4" fillId="6" borderId="10" xfId="0" applyFont="1" applyFill="1" applyBorder="1" applyAlignment="1">
      <alignment horizontal="center" vertical="center" wrapText="1"/>
    </xf>
    <xf numFmtId="0" fontId="6" fillId="0" borderId="11" xfId="0" applyFont="1" applyBorder="1" applyAlignment="1">
      <alignment horizontal="center" vertical="center"/>
    </xf>
    <xf numFmtId="0" fontId="14" fillId="5" borderId="12" xfId="0" applyFont="1" applyFill="1" applyBorder="1"/>
    <xf numFmtId="0" fontId="13" fillId="5" borderId="12" xfId="0" applyFont="1" applyFill="1" applyBorder="1"/>
    <xf numFmtId="164" fontId="14" fillId="5" borderId="6" xfId="0" applyNumberFormat="1" applyFont="1" applyFill="1" applyBorder="1"/>
    <xf numFmtId="164" fontId="13" fillId="5" borderId="6" xfId="0" applyNumberFormat="1" applyFont="1" applyFill="1" applyBorder="1"/>
    <xf numFmtId="164" fontId="14" fillId="5" borderId="12" xfId="0" applyNumberFormat="1" applyFont="1" applyFill="1" applyBorder="1"/>
    <xf numFmtId="164" fontId="13" fillId="5" borderId="12" xfId="0" applyNumberFormat="1" applyFont="1" applyFill="1" applyBorder="1"/>
    <xf numFmtId="165" fontId="6" fillId="0" borderId="6" xfId="0" applyNumberFormat="1" applyFont="1" applyBorder="1"/>
    <xf numFmtId="165" fontId="7" fillId="0" borderId="6" xfId="0" applyNumberFormat="1" applyFont="1" applyBorder="1"/>
    <xf numFmtId="166" fontId="14" fillId="5" borderId="12" xfId="0" applyNumberFormat="1" applyFont="1" applyFill="1" applyBorder="1"/>
    <xf numFmtId="165" fontId="7" fillId="0" borderId="12" xfId="0" applyNumberFormat="1" applyFont="1" applyBorder="1"/>
    <xf numFmtId="167" fontId="6" fillId="0" borderId="6" xfId="0" applyNumberFormat="1" applyFont="1" applyBorder="1"/>
    <xf numFmtId="0" fontId="13" fillId="5" borderId="13" xfId="0" applyFont="1" applyFill="1" applyBorder="1"/>
    <xf numFmtId="164" fontId="13" fillId="5" borderId="8" xfId="0" applyNumberFormat="1" applyFont="1" applyFill="1" applyBorder="1"/>
    <xf numFmtId="164" fontId="13" fillId="5" borderId="13" xfId="0" applyNumberFormat="1" applyFont="1" applyFill="1" applyBorder="1"/>
    <xf numFmtId="165" fontId="6" fillId="0" borderId="8" xfId="0" applyNumberFormat="1" applyFont="1" applyBorder="1"/>
    <xf numFmtId="164" fontId="14" fillId="5" borderId="13" xfId="0" applyNumberFormat="1" applyFont="1" applyFill="1" applyBorder="1"/>
    <xf numFmtId="165" fontId="7" fillId="0" borderId="8" xfId="0" applyNumberFormat="1" applyFont="1" applyBorder="1"/>
    <xf numFmtId="166" fontId="14" fillId="5" borderId="13" xfId="0" applyNumberFormat="1" applyFont="1" applyFill="1" applyBorder="1"/>
    <xf numFmtId="165" fontId="7" fillId="0" borderId="13" xfId="0" applyNumberFormat="1" applyFont="1" applyBorder="1"/>
    <xf numFmtId="167" fontId="6" fillId="0" borderId="8" xfId="0" applyNumberFormat="1" applyFont="1" applyBorder="1"/>
    <xf numFmtId="0" fontId="6" fillId="2" borderId="2" xfId="0" applyFont="1" applyFill="1" applyBorder="1"/>
    <xf numFmtId="0" fontId="7" fillId="2" borderId="14" xfId="0" applyFont="1" applyFill="1" applyBorder="1"/>
    <xf numFmtId="164" fontId="7" fillId="2" borderId="2" xfId="0" applyNumberFormat="1" applyFont="1" applyFill="1" applyBorder="1"/>
    <xf numFmtId="164" fontId="7" fillId="2" borderId="14" xfId="0" applyNumberFormat="1" applyFont="1" applyFill="1" applyBorder="1"/>
    <xf numFmtId="0" fontId="6" fillId="2" borderId="14" xfId="0" applyFont="1" applyFill="1" applyBorder="1"/>
    <xf numFmtId="166" fontId="7" fillId="2" borderId="2" xfId="0" applyNumberFormat="1" applyFont="1" applyFill="1" applyBorder="1"/>
    <xf numFmtId="166" fontId="7" fillId="2" borderId="15" xfId="0" applyNumberFormat="1" applyFont="1" applyFill="1" applyBorder="1"/>
    <xf numFmtId="166" fontId="14" fillId="5" borderId="6" xfId="0" applyNumberFormat="1" applyFont="1" applyFill="1" applyBorder="1"/>
    <xf numFmtId="166" fontId="14" fillId="5" borderId="7" xfId="0" applyNumberFormat="1" applyFont="1" applyFill="1" applyBorder="1"/>
    <xf numFmtId="0" fontId="4" fillId="6" borderId="2"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15" fillId="0" borderId="0" xfId="0" applyFont="1"/>
    <xf numFmtId="164" fontId="16" fillId="0" borderId="1" xfId="0" applyNumberFormat="1" applyFont="1" applyBorder="1"/>
    <xf numFmtId="164" fontId="6" fillId="0" borderId="1" xfId="0" applyNumberFormat="1" applyFont="1" applyBorder="1"/>
    <xf numFmtId="167" fontId="16" fillId="0" borderId="1" xfId="0" applyNumberFormat="1" applyFont="1" applyBorder="1"/>
    <xf numFmtId="169" fontId="6" fillId="0" borderId="1" xfId="0" applyNumberFormat="1" applyFont="1" applyBorder="1"/>
    <xf numFmtId="0" fontId="6" fillId="0" borderId="20" xfId="0" applyFont="1" applyBorder="1"/>
    <xf numFmtId="164" fontId="6" fillId="0" borderId="21" xfId="0" applyNumberFormat="1" applyFont="1" applyBorder="1"/>
    <xf numFmtId="168" fontId="6" fillId="0" borderId="21" xfId="0" applyNumberFormat="1" applyFont="1" applyBorder="1"/>
    <xf numFmtId="0" fontId="6" fillId="0" borderId="22" xfId="0" applyFont="1" applyBorder="1"/>
    <xf numFmtId="164" fontId="6" fillId="0" borderId="23" xfId="0" applyNumberFormat="1" applyFont="1" applyBorder="1"/>
    <xf numFmtId="0" fontId="6" fillId="0" borderId="18" xfId="0" applyFont="1" applyBorder="1"/>
    <xf numFmtId="0" fontId="8" fillId="7" borderId="18" xfId="0" applyFont="1" applyFill="1" applyBorder="1"/>
    <xf numFmtId="168" fontId="8" fillId="7" borderId="19" xfId="0" applyNumberFormat="1" applyFont="1" applyFill="1" applyBorder="1"/>
    <xf numFmtId="0" fontId="8" fillId="7" borderId="20" xfId="0" applyFont="1" applyFill="1" applyBorder="1"/>
    <xf numFmtId="168" fontId="8" fillId="7" borderId="21" xfId="0" applyNumberFormat="1" applyFont="1" applyFill="1" applyBorder="1"/>
    <xf numFmtId="164" fontId="8" fillId="7" borderId="21" xfId="0" applyNumberFormat="1" applyFont="1" applyFill="1" applyBorder="1"/>
    <xf numFmtId="0" fontId="8" fillId="7" borderId="22" xfId="0" applyFont="1" applyFill="1" applyBorder="1"/>
    <xf numFmtId="166" fontId="8" fillId="7" borderId="23" xfId="0" applyNumberFormat="1" applyFont="1" applyFill="1" applyBorder="1"/>
    <xf numFmtId="0" fontId="8" fillId="7" borderId="2" xfId="0" applyFont="1" applyFill="1" applyBorder="1"/>
    <xf numFmtId="164" fontId="8" fillId="7" borderId="2" xfId="0" applyNumberFormat="1" applyFont="1" applyFill="1" applyBorder="1"/>
    <xf numFmtId="0" fontId="8" fillId="7" borderId="2" xfId="0" applyFont="1" applyFill="1" applyBorder="1" applyAlignment="1">
      <alignment vertical="top" wrapText="1"/>
    </xf>
    <xf numFmtId="0" fontId="14" fillId="8" borderId="2" xfId="0" applyFont="1" applyFill="1" applyBorder="1" applyAlignment="1">
      <alignment vertical="top" wrapText="1"/>
    </xf>
    <xf numFmtId="0" fontId="6" fillId="0" borderId="9" xfId="0" applyFont="1" applyBorder="1" applyAlignment="1">
      <alignment vertical="top" wrapText="1"/>
    </xf>
    <xf numFmtId="0" fontId="3" fillId="0" borderId="10" xfId="0" applyFont="1" applyBorder="1" applyAlignment="1">
      <alignment vertical="top" wrapText="1"/>
    </xf>
    <xf numFmtId="0" fontId="3" fillId="0" borderId="9" xfId="0" applyFont="1" applyBorder="1" applyAlignment="1">
      <alignment vertical="top" wrapText="1"/>
    </xf>
    <xf numFmtId="0" fontId="17" fillId="8" borderId="2" xfId="0" applyFont="1" applyFill="1" applyBorder="1" applyAlignment="1">
      <alignment vertical="top" wrapText="1"/>
    </xf>
    <xf numFmtId="0" fontId="19" fillId="6" borderId="5" xfId="0" applyFont="1" applyFill="1" applyBorder="1" applyAlignment="1">
      <alignment horizontal="center" vertical="center" wrapText="1"/>
    </xf>
    <xf numFmtId="0" fontId="20" fillId="0" borderId="0" xfId="0" applyFont="1"/>
    <xf numFmtId="164" fontId="14" fillId="5" borderId="19" xfId="0" applyNumberFormat="1" applyFont="1" applyFill="1" applyBorder="1"/>
    <xf numFmtId="168" fontId="14" fillId="5" borderId="19" xfId="0" applyNumberFormat="1" applyFont="1" applyFill="1" applyBorder="1"/>
    <xf numFmtId="0" fontId="21" fillId="0" borderId="0" xfId="0" applyFont="1"/>
    <xf numFmtId="0" fontId="15" fillId="0" borderId="0" xfId="0" applyFont="1" applyAlignment="1">
      <alignment vertical="center"/>
    </xf>
    <xf numFmtId="0" fontId="18" fillId="0" borderId="0" xfId="0" applyFont="1"/>
    <xf numFmtId="168" fontId="16" fillId="0" borderId="1" xfId="0" applyNumberFormat="1" applyFont="1" applyBorder="1" applyAlignment="1">
      <alignment horizontal="right" vertical="center"/>
    </xf>
    <xf numFmtId="164" fontId="14" fillId="7" borderId="1" xfId="0" applyNumberFormat="1" applyFont="1" applyFill="1" applyBorder="1"/>
    <xf numFmtId="168" fontId="14" fillId="7" borderId="1" xfId="0" applyNumberFormat="1" applyFont="1" applyFill="1" applyBorder="1" applyAlignment="1">
      <alignment horizontal="right" vertical="center"/>
    </xf>
    <xf numFmtId="168" fontId="16" fillId="0" borderId="1" xfId="0" applyNumberFormat="1" applyFont="1" applyBorder="1"/>
    <xf numFmtId="164" fontId="16" fillId="0" borderId="4" xfId="0" applyNumberFormat="1" applyFont="1" applyBorder="1"/>
    <xf numFmtId="164" fontId="14" fillId="7" borderId="4" xfId="0" applyNumberFormat="1" applyFont="1" applyFill="1" applyBorder="1"/>
    <xf numFmtId="164" fontId="16" fillId="0" borderId="27" xfId="0" applyNumberFormat="1" applyFont="1" applyBorder="1"/>
    <xf numFmtId="164" fontId="16" fillId="0" borderId="28" xfId="0" applyNumberFormat="1" applyFont="1" applyBorder="1"/>
    <xf numFmtId="168" fontId="16" fillId="0" borderId="28" xfId="0" applyNumberFormat="1" applyFont="1" applyBorder="1" applyAlignment="1">
      <alignment horizontal="right" vertical="center"/>
    </xf>
    <xf numFmtId="164" fontId="16" fillId="0" borderId="19" xfId="0" applyNumberFormat="1" applyFont="1" applyBorder="1"/>
    <xf numFmtId="164" fontId="16" fillId="0" borderId="21" xfId="0" applyNumberFormat="1" applyFont="1" applyBorder="1"/>
    <xf numFmtId="164" fontId="14" fillId="7" borderId="21" xfId="0" applyNumberFormat="1" applyFont="1" applyFill="1" applyBorder="1"/>
    <xf numFmtId="164" fontId="16" fillId="0" borderId="29" xfId="0" applyNumberFormat="1" applyFont="1" applyBorder="1"/>
    <xf numFmtId="164" fontId="16" fillId="0" borderId="30" xfId="0" applyNumberFormat="1" applyFont="1" applyBorder="1"/>
    <xf numFmtId="168" fontId="16" fillId="0" borderId="30" xfId="0" applyNumberFormat="1" applyFont="1" applyBorder="1" applyAlignment="1">
      <alignment horizontal="right" vertical="center"/>
    </xf>
    <xf numFmtId="164" fontId="16" fillId="0" borderId="23" xfId="0" applyNumberFormat="1" applyFont="1" applyBorder="1"/>
    <xf numFmtId="168" fontId="6" fillId="0" borderId="31" xfId="0" applyNumberFormat="1" applyFont="1" applyBorder="1" applyAlignment="1">
      <alignment horizontal="center" vertical="center"/>
    </xf>
    <xf numFmtId="0" fontId="6" fillId="0" borderId="21" xfId="0" applyFont="1" applyBorder="1" applyAlignment="1">
      <alignment horizontal="center" vertical="center"/>
    </xf>
    <xf numFmtId="168" fontId="6" fillId="0" borderId="32" xfId="0" applyNumberFormat="1" applyFont="1" applyBorder="1" applyAlignment="1">
      <alignment horizontal="center" vertical="center"/>
    </xf>
    <xf numFmtId="164" fontId="7" fillId="0" borderId="30" xfId="0" applyNumberFormat="1" applyFont="1" applyBorder="1"/>
    <xf numFmtId="0" fontId="6" fillId="0" borderId="23" xfId="0" applyFont="1" applyBorder="1" applyAlignment="1">
      <alignment horizontal="center" vertical="center"/>
    </xf>
    <xf numFmtId="168" fontId="6" fillId="0" borderId="33" xfId="0" applyNumberFormat="1" applyFont="1" applyBorder="1" applyAlignment="1">
      <alignment horizontal="center" vertical="center"/>
    </xf>
    <xf numFmtId="164" fontId="16" fillId="0" borderId="17" xfId="0" applyNumberFormat="1" applyFont="1" applyBorder="1"/>
    <xf numFmtId="164" fontId="7" fillId="0" borderId="17" xfId="0" applyNumberFormat="1" applyFont="1" applyBorder="1"/>
    <xf numFmtId="0" fontId="6" fillId="0" borderId="34" xfId="0" applyFont="1" applyBorder="1" applyAlignment="1">
      <alignment horizontal="center" vertical="center"/>
    </xf>
    <xf numFmtId="171" fontId="16" fillId="0" borderId="1" xfId="0" applyNumberFormat="1" applyFont="1" applyBorder="1"/>
    <xf numFmtId="171" fontId="8" fillId="7" borderId="1" xfId="0" applyNumberFormat="1" applyFont="1" applyFill="1" applyBorder="1"/>
    <xf numFmtId="171" fontId="6" fillId="0" borderId="1" xfId="0" applyNumberFormat="1" applyFont="1" applyBorder="1"/>
    <xf numFmtId="171" fontId="7" fillId="0" borderId="21" xfId="0" applyNumberFormat="1" applyFont="1" applyBorder="1"/>
    <xf numFmtId="171" fontId="8" fillId="7" borderId="21" xfId="0" applyNumberFormat="1" applyFont="1" applyFill="1" applyBorder="1"/>
    <xf numFmtId="0" fontId="6" fillId="0" borderId="30" xfId="0" applyFont="1" applyBorder="1" applyAlignment="1">
      <alignment horizontal="center" vertical="center"/>
    </xf>
    <xf numFmtId="0" fontId="6" fillId="0" borderId="23" xfId="0" applyFont="1" applyBorder="1"/>
    <xf numFmtId="168" fontId="7" fillId="0" borderId="34" xfId="0" applyNumberFormat="1" applyFont="1" applyBorder="1"/>
    <xf numFmtId="0" fontId="4" fillId="6" borderId="37" xfId="0" applyFont="1" applyFill="1" applyBorder="1" applyAlignment="1">
      <alignment horizontal="center" vertical="center" wrapText="1"/>
    </xf>
    <xf numFmtId="0" fontId="4" fillId="6" borderId="38" xfId="0" applyFont="1" applyFill="1" applyBorder="1" applyAlignment="1">
      <alignment horizontal="center" vertical="center" wrapText="1"/>
    </xf>
    <xf numFmtId="171" fontId="16" fillId="0" borderId="4" xfId="0" applyNumberFormat="1" applyFont="1" applyBorder="1"/>
    <xf numFmtId="171" fontId="8" fillId="7" borderId="4" xfId="0" applyNumberFormat="1" applyFont="1" applyFill="1" applyBorder="1"/>
    <xf numFmtId="171" fontId="6" fillId="0" borderId="4" xfId="0" applyNumberFormat="1" applyFont="1" applyBorder="1"/>
    <xf numFmtId="0" fontId="6" fillId="0" borderId="29" xfId="0" applyFont="1" applyBorder="1" applyAlignment="1">
      <alignment horizontal="center" vertical="center"/>
    </xf>
    <xf numFmtId="0" fontId="6" fillId="0" borderId="5" xfId="0" applyFont="1" applyBorder="1"/>
    <xf numFmtId="0" fontId="8" fillId="7" borderId="6" xfId="0" applyFont="1" applyFill="1" applyBorder="1"/>
    <xf numFmtId="168" fontId="8" fillId="5" borderId="39" xfId="0" applyNumberFormat="1" applyFont="1" applyFill="1" applyBorder="1"/>
    <xf numFmtId="168" fontId="8" fillId="5" borderId="17" xfId="0" applyNumberFormat="1" applyFont="1" applyFill="1" applyBorder="1"/>
    <xf numFmtId="0" fontId="10" fillId="0" borderId="24" xfId="0" applyFont="1" applyBorder="1"/>
    <xf numFmtId="0" fontId="10" fillId="0" borderId="26" xfId="0" applyFont="1" applyBorder="1"/>
    <xf numFmtId="0" fontId="10" fillId="0" borderId="25" xfId="0" applyFont="1" applyBorder="1"/>
    <xf numFmtId="0" fontId="4" fillId="6" borderId="40" xfId="0" applyFont="1" applyFill="1" applyBorder="1" applyAlignment="1">
      <alignment horizontal="center" vertical="center" wrapText="1"/>
    </xf>
    <xf numFmtId="168" fontId="9" fillId="0" borderId="30" xfId="0" applyNumberFormat="1" applyFont="1" applyBorder="1"/>
    <xf numFmtId="0" fontId="16" fillId="0" borderId="35" xfId="0" applyFont="1" applyBorder="1"/>
    <xf numFmtId="167" fontId="16" fillId="0" borderId="28" xfId="0" applyNumberFormat="1" applyFont="1" applyBorder="1"/>
    <xf numFmtId="169" fontId="6" fillId="0" borderId="28" xfId="0" applyNumberFormat="1" applyFont="1" applyBorder="1"/>
    <xf numFmtId="169" fontId="6" fillId="0" borderId="19" xfId="0" applyNumberFormat="1" applyFont="1" applyBorder="1"/>
    <xf numFmtId="0" fontId="16" fillId="0" borderId="31" xfId="0" applyFont="1" applyBorder="1"/>
    <xf numFmtId="169" fontId="6" fillId="0" borderId="21" xfId="0" applyNumberFormat="1" applyFont="1" applyBorder="1"/>
    <xf numFmtId="0" fontId="16" fillId="0" borderId="41" xfId="0" applyFont="1" applyBorder="1"/>
    <xf numFmtId="167" fontId="16" fillId="0" borderId="3" xfId="0" applyNumberFormat="1" applyFont="1" applyBorder="1"/>
    <xf numFmtId="169" fontId="6" fillId="0" borderId="3" xfId="0" applyNumberFormat="1" applyFont="1" applyBorder="1"/>
    <xf numFmtId="169" fontId="6" fillId="0" borderId="42" xfId="0" applyNumberFormat="1" applyFont="1" applyBorder="1"/>
    <xf numFmtId="0" fontId="7" fillId="2" borderId="36" xfId="0" applyFont="1" applyFill="1" applyBorder="1"/>
    <xf numFmtId="166" fontId="7" fillId="2" borderId="37" xfId="0" applyNumberFormat="1" applyFont="1" applyFill="1" applyBorder="1"/>
    <xf numFmtId="168" fontId="7" fillId="2" borderId="37" xfId="0" applyNumberFormat="1" applyFont="1" applyFill="1" applyBorder="1"/>
    <xf numFmtId="168" fontId="7" fillId="2" borderId="38" xfId="0" applyNumberFormat="1" applyFont="1" applyFill="1" applyBorder="1"/>
    <xf numFmtId="0" fontId="22" fillId="8" borderId="0" xfId="0" applyFont="1" applyFill="1"/>
    <xf numFmtId="0" fontId="14" fillId="8" borderId="0" xfId="0" applyFont="1" applyFill="1"/>
    <xf numFmtId="0" fontId="23" fillId="8" borderId="0" xfId="0" applyFont="1" applyFill="1"/>
    <xf numFmtId="0" fontId="4" fillId="0" borderId="2" xfId="0" applyFont="1" applyBorder="1" applyAlignment="1">
      <alignment vertical="top" wrapText="1"/>
    </xf>
    <xf numFmtId="0" fontId="14" fillId="5" borderId="43" xfId="0" applyFont="1" applyFill="1" applyBorder="1" applyAlignment="1">
      <alignment vertical="top" wrapText="1"/>
    </xf>
    <xf numFmtId="164" fontId="14" fillId="5" borderId="44" xfId="0" applyNumberFormat="1" applyFont="1" applyFill="1" applyBorder="1"/>
    <xf numFmtId="164" fontId="14" fillId="5" borderId="43" xfId="0" applyNumberFormat="1" applyFont="1" applyFill="1" applyBorder="1"/>
    <xf numFmtId="165" fontId="6" fillId="0" borderId="44" xfId="0" applyNumberFormat="1" applyFont="1" applyBorder="1"/>
    <xf numFmtId="165" fontId="7" fillId="0" borderId="44" xfId="0" applyNumberFormat="1" applyFont="1" applyBorder="1"/>
    <xf numFmtId="166" fontId="14" fillId="5" borderId="43" xfId="0" applyNumberFormat="1" applyFont="1" applyFill="1" applyBorder="1"/>
    <xf numFmtId="165" fontId="7" fillId="0" borderId="43" xfId="0" applyNumberFormat="1" applyFont="1" applyBorder="1"/>
    <xf numFmtId="167" fontId="6" fillId="0" borderId="44" xfId="0" applyNumberFormat="1" applyFont="1" applyBorder="1"/>
    <xf numFmtId="166" fontId="14" fillId="5" borderId="44" xfId="0" applyNumberFormat="1" applyFont="1" applyFill="1" applyBorder="1"/>
    <xf numFmtId="0" fontId="12" fillId="0" borderId="2" xfId="0" applyFont="1" applyBorder="1" applyAlignment="1">
      <alignment horizontal="center" vertical="center" wrapText="1"/>
    </xf>
    <xf numFmtId="0" fontId="12" fillId="0" borderId="14" xfId="0" applyFont="1" applyBorder="1" applyAlignment="1">
      <alignment horizontal="center" vertical="center" wrapText="1"/>
    </xf>
    <xf numFmtId="170" fontId="14" fillId="9" borderId="5" xfId="0" applyNumberFormat="1" applyFont="1" applyFill="1" applyBorder="1" applyAlignment="1">
      <alignment horizontal="center" vertical="center"/>
    </xf>
    <xf numFmtId="170" fontId="14" fillId="9" borderId="6" xfId="0" applyNumberFormat="1" applyFont="1" applyFill="1" applyBorder="1" applyAlignment="1">
      <alignment horizontal="center" vertical="center"/>
    </xf>
    <xf numFmtId="170" fontId="14" fillId="9" borderId="7" xfId="0" applyNumberFormat="1" applyFont="1" applyFill="1" applyBorder="1" applyAlignment="1">
      <alignment horizontal="center" vertical="center"/>
    </xf>
    <xf numFmtId="0" fontId="10" fillId="10" borderId="0" xfId="0" applyFont="1" applyFill="1"/>
    <xf numFmtId="0" fontId="4" fillId="4" borderId="2" xfId="0" applyFont="1" applyFill="1" applyBorder="1"/>
    <xf numFmtId="0" fontId="18" fillId="6" borderId="2"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0" xfId="0" applyFont="1" applyFill="1" applyAlignment="1">
      <alignment horizontal="center" vertical="center"/>
    </xf>
    <xf numFmtId="0" fontId="8" fillId="7" borderId="17" xfId="0" applyFont="1" applyFill="1" applyBorder="1" applyAlignment="1">
      <alignment vertical="center" wrapText="1"/>
    </xf>
    <xf numFmtId="0" fontId="8" fillId="7" borderId="1" xfId="0" applyFont="1" applyFill="1" applyBorder="1" applyAlignment="1">
      <alignment vertical="center" wrapText="1"/>
    </xf>
    <xf numFmtId="0" fontId="7" fillId="0" borderId="17" xfId="0" applyFont="1" applyBorder="1" applyAlignment="1">
      <alignment vertical="center" wrapText="1"/>
    </xf>
    <xf numFmtId="0" fontId="7" fillId="0" borderId="1" xfId="0" applyFont="1" applyBorder="1" applyAlignment="1">
      <alignment vertical="center" wrapText="1"/>
    </xf>
    <xf numFmtId="0" fontId="18" fillId="3" borderId="16"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8" fillId="7" borderId="27" xfId="0" applyFont="1" applyFill="1" applyBorder="1"/>
    <xf numFmtId="0" fontId="8" fillId="7" borderId="28" xfId="0" applyFont="1" applyFill="1" applyBorder="1"/>
    <xf numFmtId="0" fontId="8" fillId="7" borderId="19" xfId="0" applyFont="1" applyFill="1" applyBorder="1"/>
  </cellXfs>
  <cellStyles count="1">
    <cellStyle name="Normal" xfId="0" builtinId="0"/>
  </cellStyles>
  <dxfs count="4">
    <dxf>
      <font>
        <b/>
        <sz val="10"/>
        <color rgb="FF00803C"/>
        <name val="Arial"/>
        <charset val="1"/>
      </font>
    </dxf>
    <dxf>
      <font>
        <b/>
        <sz val="10"/>
        <color rgb="FFC00000"/>
        <name val="Arial"/>
        <charset val="1"/>
      </font>
    </dxf>
    <dxf>
      <font>
        <b/>
        <sz val="10"/>
        <color rgb="FF00803C"/>
        <name val="Arial"/>
        <charset val="1"/>
      </font>
    </dxf>
    <dxf>
      <font>
        <b/>
        <sz val="10"/>
        <color rgb="FFC00000"/>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3C"/>
      <rgbColor rgb="FFBFBFBF"/>
      <rgbColor rgb="FF7F7F7F"/>
      <rgbColor rgb="FF9999FF"/>
      <rgbColor rgb="FF993366"/>
      <rgbColor rgb="FFFFF2CC"/>
      <rgbColor rgb="FFEAF1FB"/>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9E2F3"/>
      <rgbColor rgb="FFD9D9D9"/>
      <rgbColor rgb="FFFFFF99"/>
      <rgbColor rgb="FF99CCFF"/>
      <rgbColor rgb="FFFF99CC"/>
      <rgbColor rgb="FFCC99FF"/>
      <rgbColor rgb="FFFFCC99"/>
      <rgbColor rgb="FF3366FF"/>
      <rgbColor rgb="FF33CCCC"/>
      <rgbColor rgb="FF99CC00"/>
      <rgbColor rgb="FFFFCC00"/>
      <rgbColor rgb="FFFF9900"/>
      <rgbColor rgb="FFFF6600"/>
      <rgbColor rgb="FF595959"/>
      <rgbColor rgb="FF87878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B9DB3"/>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lv-LV" sz="1800" b="1" strike="noStrike" spc="-1">
                <a:solidFill>
                  <a:srgbClr val="000000"/>
                </a:solidFill>
                <a:latin typeface="Calibri"/>
              </a:rPr>
              <a:t>Kur ieņēmumi pārsniedz izdevumus – tur sākas peļņa</a:t>
            </a:r>
          </a:p>
        </c:rich>
      </c:tx>
      <c:overlay val="0"/>
      <c:spPr>
        <a:noFill/>
        <a:ln w="0">
          <a:noFill/>
        </a:ln>
      </c:spPr>
    </c:title>
    <c:autoTitleDeleted val="0"/>
    <c:plotArea>
      <c:layout/>
      <c:lineChart>
        <c:grouping val="standard"/>
        <c:varyColors val="0"/>
        <c:ser>
          <c:idx val="0"/>
          <c:order val="0"/>
          <c:tx>
            <c:strRef>
              <c:f>Scenāriji!$B$19</c:f>
              <c:strCache>
                <c:ptCount val="1"/>
                <c:pt idx="0">
                  <c:v>Ieņēmumi (bez PVN)</c:v>
                </c:pt>
              </c:strCache>
            </c:strRef>
          </c:tx>
          <c:spPr>
            <a:ln w="28440">
              <a:solidFill>
                <a:srgbClr val="1F3864"/>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Scenāriji!$A$20:$A$30</c:f>
              <c:numCache>
                <c:formatCode>#,##0;[Red]\-#,##0</c:formatCode>
                <c:ptCount val="11"/>
                <c:pt idx="0">
                  <c:v>0</c:v>
                </c:pt>
                <c:pt idx="1">
                  <c:v>60</c:v>
                </c:pt>
                <c:pt idx="2">
                  <c:v>120</c:v>
                </c:pt>
                <c:pt idx="3">
                  <c:v>180</c:v>
                </c:pt>
                <c:pt idx="4">
                  <c:v>240</c:v>
                </c:pt>
                <c:pt idx="5">
                  <c:v>300</c:v>
                </c:pt>
                <c:pt idx="6">
                  <c:v>360</c:v>
                </c:pt>
                <c:pt idx="7">
                  <c:v>420</c:v>
                </c:pt>
                <c:pt idx="8">
                  <c:v>480</c:v>
                </c:pt>
                <c:pt idx="9">
                  <c:v>540</c:v>
                </c:pt>
                <c:pt idx="10">
                  <c:v>600</c:v>
                </c:pt>
              </c:numCache>
            </c:numRef>
          </c:cat>
          <c:val>
            <c:numRef>
              <c:f>Scenāriji!$B$20:$B$30</c:f>
              <c:numCache>
                <c:formatCode>#,##0.00" €";[Red]\-#,##0.00" €"</c:formatCode>
                <c:ptCount val="11"/>
                <c:pt idx="0">
                  <c:v>0</c:v>
                </c:pt>
                <c:pt idx="1">
                  <c:v>4746.0000000000009</c:v>
                </c:pt>
                <c:pt idx="2">
                  <c:v>9492.0000000000018</c:v>
                </c:pt>
                <c:pt idx="3">
                  <c:v>14238.000000000002</c:v>
                </c:pt>
                <c:pt idx="4">
                  <c:v>18984.000000000004</c:v>
                </c:pt>
                <c:pt idx="5">
                  <c:v>23730.000000000004</c:v>
                </c:pt>
                <c:pt idx="6">
                  <c:v>28476.000000000004</c:v>
                </c:pt>
                <c:pt idx="7">
                  <c:v>33222</c:v>
                </c:pt>
                <c:pt idx="8">
                  <c:v>37968.000000000007</c:v>
                </c:pt>
                <c:pt idx="9">
                  <c:v>42714.000000000007</c:v>
                </c:pt>
                <c:pt idx="10">
                  <c:v>47460.000000000007</c:v>
                </c:pt>
              </c:numCache>
            </c:numRef>
          </c:val>
          <c:smooth val="1"/>
          <c:extLst>
            <c:ext xmlns:c16="http://schemas.microsoft.com/office/drawing/2014/chart" uri="{C3380CC4-5D6E-409C-BE32-E72D297353CC}">
              <c16:uniqueId val="{00000000-50AD-CB4F-B142-96F093EFC510}"/>
            </c:ext>
          </c:extLst>
        </c:ser>
        <c:ser>
          <c:idx val="1"/>
          <c:order val="1"/>
          <c:tx>
            <c:strRef>
              <c:f>Scenāriji!$C$19</c:f>
              <c:strCache>
                <c:ptCount val="1"/>
                <c:pt idx="0">
                  <c:v>Visi izdevumi (pašizmaksa + fiksētās)</c:v>
                </c:pt>
              </c:strCache>
            </c:strRef>
          </c:tx>
          <c:spPr>
            <a:ln w="28440">
              <a:solidFill>
                <a:srgbClr val="C00000"/>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Scenāriji!$A$20:$A$30</c:f>
              <c:numCache>
                <c:formatCode>#,##0;[Red]\-#,##0</c:formatCode>
                <c:ptCount val="11"/>
                <c:pt idx="0">
                  <c:v>0</c:v>
                </c:pt>
                <c:pt idx="1">
                  <c:v>60</c:v>
                </c:pt>
                <c:pt idx="2">
                  <c:v>120</c:v>
                </c:pt>
                <c:pt idx="3">
                  <c:v>180</c:v>
                </c:pt>
                <c:pt idx="4">
                  <c:v>240</c:v>
                </c:pt>
                <c:pt idx="5">
                  <c:v>300</c:v>
                </c:pt>
                <c:pt idx="6">
                  <c:v>360</c:v>
                </c:pt>
                <c:pt idx="7">
                  <c:v>420</c:v>
                </c:pt>
                <c:pt idx="8">
                  <c:v>480</c:v>
                </c:pt>
                <c:pt idx="9">
                  <c:v>540</c:v>
                </c:pt>
                <c:pt idx="10">
                  <c:v>600</c:v>
                </c:pt>
              </c:numCache>
            </c:numRef>
          </c:cat>
          <c:val>
            <c:numRef>
              <c:f>Scenāriji!$C$20:$C$30</c:f>
              <c:numCache>
                <c:formatCode>#,##0.00" €";[Red]\-#,##0.00" €"</c:formatCode>
                <c:ptCount val="11"/>
                <c:pt idx="0">
                  <c:v>9375</c:v>
                </c:pt>
                <c:pt idx="1">
                  <c:v>12231</c:v>
                </c:pt>
                <c:pt idx="2">
                  <c:v>15087</c:v>
                </c:pt>
                <c:pt idx="3">
                  <c:v>17943</c:v>
                </c:pt>
                <c:pt idx="4">
                  <c:v>20799</c:v>
                </c:pt>
                <c:pt idx="5">
                  <c:v>23655</c:v>
                </c:pt>
                <c:pt idx="6">
                  <c:v>26511.000000000004</c:v>
                </c:pt>
                <c:pt idx="7">
                  <c:v>29367.000000000004</c:v>
                </c:pt>
                <c:pt idx="8">
                  <c:v>32223.000000000004</c:v>
                </c:pt>
                <c:pt idx="9">
                  <c:v>35079</c:v>
                </c:pt>
                <c:pt idx="10">
                  <c:v>37935</c:v>
                </c:pt>
              </c:numCache>
            </c:numRef>
          </c:val>
          <c:smooth val="1"/>
          <c:extLst>
            <c:ext xmlns:c16="http://schemas.microsoft.com/office/drawing/2014/chart" uri="{C3380CC4-5D6E-409C-BE32-E72D297353CC}">
              <c16:uniqueId val="{00000001-50AD-CB4F-B142-96F093EFC510}"/>
            </c:ext>
          </c:extLst>
        </c:ser>
        <c:dLbls>
          <c:showLegendKey val="0"/>
          <c:showVal val="0"/>
          <c:showCatName val="0"/>
          <c:showSerName val="0"/>
          <c:showPercent val="0"/>
          <c:showBubbleSize val="0"/>
        </c:dLbls>
        <c:hiLowLines>
          <c:spPr>
            <a:ln w="0">
              <a:noFill/>
            </a:ln>
          </c:spPr>
        </c:hiLowLines>
        <c:smooth val="0"/>
        <c:axId val="11950856"/>
        <c:axId val="20464135"/>
      </c:lineChart>
      <c:catAx>
        <c:axId val="11950856"/>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Pārdotais apjoms mēnesī (pakalpojumi)</a:t>
                </a:r>
              </a:p>
            </c:rich>
          </c:tx>
          <c:overlay val="0"/>
          <c:spPr>
            <a:noFill/>
            <a:ln w="0">
              <a:noFill/>
            </a:ln>
          </c:spPr>
        </c:title>
        <c:numFmt formatCode="#,##0;[Red]\-#,##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0464135"/>
        <c:crosses val="autoZero"/>
        <c:auto val="1"/>
        <c:lblAlgn val="ctr"/>
        <c:lblOffset val="100"/>
        <c:noMultiLvlLbl val="0"/>
      </c:catAx>
      <c:valAx>
        <c:axId val="20464135"/>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EUR</a:t>
                </a:r>
              </a:p>
            </c:rich>
          </c:tx>
          <c:overlay val="0"/>
          <c:spPr>
            <a:noFill/>
            <a:ln w="0">
              <a:noFill/>
            </a:ln>
          </c:spPr>
        </c:title>
        <c:numFmt formatCode="#,##0.00&quot; €&quot;;[Red]\-#,##0.00&quot; €&quot;"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1950856"/>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lv-LV" sz="1800" b="1" strike="noStrike" spc="-1">
                <a:solidFill>
                  <a:srgbClr val="000000"/>
                </a:solidFill>
                <a:latin typeface="Calibri"/>
              </a:rPr>
              <a:t>Peļņa / zaudējums pa mēnešiem (EUR)</a:t>
            </a:r>
          </a:p>
        </c:rich>
      </c:tx>
      <c:overlay val="0"/>
      <c:spPr>
        <a:noFill/>
        <a:ln w="0">
          <a:noFill/>
        </a:ln>
      </c:spPr>
    </c:title>
    <c:autoTitleDeleted val="0"/>
    <c:plotArea>
      <c:layout/>
      <c:barChart>
        <c:barDir val="col"/>
        <c:grouping val="clustered"/>
        <c:varyColors val="0"/>
        <c:ser>
          <c:idx val="0"/>
          <c:order val="0"/>
          <c:tx>
            <c:strRef>
              <c:f>'12 mēnešu plāns'!$A$8</c:f>
              <c:strCache>
                <c:ptCount val="1"/>
                <c:pt idx="0">
                  <c:v>PEĻŅA / ZAUDĒJUMS MĒNESĪ</c:v>
                </c:pt>
              </c:strCache>
            </c:strRef>
          </c:tx>
          <c:spPr>
            <a:solidFill>
              <a:srgbClr val="1F386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'12 mēnešu plāns'!$B$4:$M$4</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'12 mēnešu plāns'!$B$8:$M$8</c:f>
              <c:numCache>
                <c:formatCode>#,##0" €";[Red]\-#,##0" €"</c:formatCode>
                <c:ptCount val="12"/>
                <c:pt idx="0">
                  <c:v>-2444.9999999999964</c:v>
                </c:pt>
                <c:pt idx="1">
                  <c:v>-1657.4999999999964</c:v>
                </c:pt>
                <c:pt idx="2">
                  <c:v>-869.99999999999636</c:v>
                </c:pt>
                <c:pt idx="3">
                  <c:v>-239.99999999999636</c:v>
                </c:pt>
                <c:pt idx="4">
                  <c:v>390.00000000000364</c:v>
                </c:pt>
                <c:pt idx="5">
                  <c:v>1020</c:v>
                </c:pt>
                <c:pt idx="6">
                  <c:v>390.00000000000364</c:v>
                </c:pt>
                <c:pt idx="7">
                  <c:v>-239.99999999999636</c:v>
                </c:pt>
                <c:pt idx="8">
                  <c:v>1335</c:v>
                </c:pt>
                <c:pt idx="9">
                  <c:v>1965</c:v>
                </c:pt>
                <c:pt idx="10">
                  <c:v>2595</c:v>
                </c:pt>
                <c:pt idx="11">
                  <c:v>3540</c:v>
                </c:pt>
              </c:numCache>
            </c:numRef>
          </c:val>
          <c:extLst>
            <c:ext xmlns:c16="http://schemas.microsoft.com/office/drawing/2014/chart" uri="{C3380CC4-5D6E-409C-BE32-E72D297353CC}">
              <c16:uniqueId val="{00000000-BFD6-6641-8177-7BB7A9790A64}"/>
            </c:ext>
          </c:extLst>
        </c:ser>
        <c:dLbls>
          <c:showLegendKey val="0"/>
          <c:showVal val="0"/>
          <c:showCatName val="0"/>
          <c:showSerName val="0"/>
          <c:showPercent val="0"/>
          <c:showBubbleSize val="0"/>
        </c:dLbls>
        <c:gapWidth val="150"/>
        <c:axId val="66261323"/>
        <c:axId val="63215430"/>
      </c:barChart>
      <c:catAx>
        <c:axId val="66261323"/>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63215430"/>
        <c:crosses val="autoZero"/>
        <c:auto val="1"/>
        <c:lblAlgn val="ctr"/>
        <c:lblOffset val="100"/>
        <c:noMultiLvlLbl val="0"/>
      </c:catAx>
      <c:valAx>
        <c:axId val="63215430"/>
        <c:scaling>
          <c:orientation val="minMax"/>
        </c:scaling>
        <c:delete val="0"/>
        <c:axPos val="l"/>
        <c:majorGridlines>
          <c:spPr>
            <a:ln w="9360">
              <a:solidFill>
                <a:srgbClr val="878787"/>
              </a:solidFill>
              <a:round/>
            </a:ln>
          </c:spPr>
        </c:majorGridlines>
        <c:numFmt formatCode="#,##0&quot; €&quot;;[Red]\-#,##0&quot; €&quot;"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6261323"/>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15</xdr:row>
      <xdr:rowOff>160560</xdr:rowOff>
    </xdr:from>
    <xdr:to>
      <xdr:col>14</xdr:col>
      <xdr:colOff>480960</xdr:colOff>
      <xdr:row>26</xdr:row>
      <xdr:rowOff>59980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160560</xdr:rowOff>
    </xdr:from>
    <xdr:to>
      <xdr:col>5</xdr:col>
      <xdr:colOff>699720</xdr:colOff>
      <xdr:row>29</xdr:row>
      <xdr:rowOff>144780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0"/>
  <sheetViews>
    <sheetView showGridLines="0" topLeftCell="A21" zoomScaleNormal="100" workbookViewId="0">
      <selection activeCell="E30" sqref="E30"/>
    </sheetView>
  </sheetViews>
  <sheetFormatPr baseColWidth="10" defaultColWidth="8.6640625" defaultRowHeight="16" x14ac:dyDescent="0.2"/>
  <cols>
    <col min="1" max="1" width="2" style="2" customWidth="1"/>
    <col min="2" max="2" width="34" style="2" customWidth="1"/>
    <col min="3" max="3" width="111.83203125" style="2" customWidth="1"/>
    <col min="4" max="16384" width="8.6640625" style="2"/>
  </cols>
  <sheetData>
    <row r="2" spans="2:3" ht="26" x14ac:dyDescent="0.3">
      <c r="B2" s="87" t="s">
        <v>0</v>
      </c>
    </row>
    <row r="3" spans="2:3" x14ac:dyDescent="0.2">
      <c r="B3" s="1" t="s">
        <v>1</v>
      </c>
    </row>
    <row r="5" spans="2:3" ht="54" customHeight="1" x14ac:dyDescent="0.2">
      <c r="B5" s="170" t="s">
        <v>133</v>
      </c>
      <c r="C5" s="170"/>
    </row>
    <row r="6" spans="2:3" ht="30" customHeight="1" x14ac:dyDescent="0.25">
      <c r="B6" s="169" t="s">
        <v>130</v>
      </c>
      <c r="C6" s="169" t="s">
        <v>131</v>
      </c>
    </row>
    <row r="7" spans="2:3" ht="40" x14ac:dyDescent="0.2">
      <c r="B7" s="153" t="s">
        <v>2</v>
      </c>
      <c r="C7" s="4" t="s">
        <v>137</v>
      </c>
    </row>
    <row r="8" spans="2:3" ht="20" x14ac:dyDescent="0.2">
      <c r="B8" s="153" t="s">
        <v>3</v>
      </c>
      <c r="C8" s="4" t="s">
        <v>138</v>
      </c>
    </row>
    <row r="9" spans="2:3" ht="40" x14ac:dyDescent="0.2">
      <c r="B9" s="153" t="s">
        <v>4</v>
      </c>
      <c r="C9" s="4" t="s">
        <v>139</v>
      </c>
    </row>
    <row r="10" spans="2:3" ht="20" x14ac:dyDescent="0.2">
      <c r="B10" s="153" t="s">
        <v>5</v>
      </c>
      <c r="C10" s="4" t="s">
        <v>132</v>
      </c>
    </row>
    <row r="11" spans="2:3" ht="20" x14ac:dyDescent="0.2">
      <c r="B11" s="153" t="s">
        <v>6</v>
      </c>
      <c r="C11" s="4" t="s">
        <v>140</v>
      </c>
    </row>
    <row r="13" spans="2:3" ht="49" customHeight="1" x14ac:dyDescent="0.2">
      <c r="B13" s="170" t="s">
        <v>153</v>
      </c>
      <c r="C13" s="170"/>
    </row>
    <row r="14" spans="2:3" ht="40" x14ac:dyDescent="0.2">
      <c r="B14" s="153" t="s">
        <v>7</v>
      </c>
      <c r="C14" s="4" t="s">
        <v>141</v>
      </c>
    </row>
    <row r="15" spans="2:3" ht="40" x14ac:dyDescent="0.2">
      <c r="B15" s="153" t="s">
        <v>8</v>
      </c>
      <c r="C15" s="4" t="s">
        <v>163</v>
      </c>
    </row>
    <row r="16" spans="2:3" ht="20" x14ac:dyDescent="0.2">
      <c r="B16" s="153" t="s">
        <v>9</v>
      </c>
      <c r="C16" s="4" t="s">
        <v>164</v>
      </c>
    </row>
    <row r="17" spans="2:3" ht="40" x14ac:dyDescent="0.2">
      <c r="B17" s="153" t="s">
        <v>10</v>
      </c>
      <c r="C17" s="4" t="s">
        <v>134</v>
      </c>
    </row>
    <row r="18" spans="2:3" ht="40" x14ac:dyDescent="0.2">
      <c r="B18" s="153" t="s">
        <v>11</v>
      </c>
      <c r="C18" s="4" t="s">
        <v>171</v>
      </c>
    </row>
    <row r="19" spans="2:3" ht="20" x14ac:dyDescent="0.2">
      <c r="B19" s="153" t="s">
        <v>12</v>
      </c>
      <c r="C19" s="4" t="s">
        <v>13</v>
      </c>
    </row>
    <row r="21" spans="2:3" ht="51" customHeight="1" x14ac:dyDescent="0.2">
      <c r="B21" s="170" t="s">
        <v>14</v>
      </c>
      <c r="C21" s="170"/>
    </row>
    <row r="22" spans="2:3" ht="23" customHeight="1" x14ac:dyDescent="0.2">
      <c r="B22" s="3" t="s">
        <v>136</v>
      </c>
      <c r="C22" s="4" t="s">
        <v>135</v>
      </c>
    </row>
    <row r="23" spans="2:3" ht="23" customHeight="1" x14ac:dyDescent="0.2">
      <c r="B23" s="5" t="s">
        <v>15</v>
      </c>
      <c r="C23" s="4" t="s">
        <v>16</v>
      </c>
    </row>
    <row r="24" spans="2:3" ht="23" customHeight="1" x14ac:dyDescent="0.2">
      <c r="B24" s="6" t="s">
        <v>17</v>
      </c>
      <c r="C24" s="4" t="s">
        <v>18</v>
      </c>
    </row>
    <row r="25" spans="2:3" ht="23" customHeight="1" x14ac:dyDescent="0.2">
      <c r="B25" s="75" t="s">
        <v>150</v>
      </c>
      <c r="C25" s="4" t="s">
        <v>19</v>
      </c>
    </row>
    <row r="27" spans="2:3" ht="56" customHeight="1" x14ac:dyDescent="0.2">
      <c r="B27" s="170" t="s">
        <v>20</v>
      </c>
      <c r="C27" s="170"/>
    </row>
    <row r="28" spans="2:3" ht="40" x14ac:dyDescent="0.2">
      <c r="B28" s="78"/>
      <c r="C28" s="4" t="s">
        <v>21</v>
      </c>
    </row>
    <row r="29" spans="2:3" ht="40" x14ac:dyDescent="0.2">
      <c r="B29" s="79"/>
      <c r="C29" s="77" t="s">
        <v>22</v>
      </c>
    </row>
    <row r="30" spans="2:3" ht="160" x14ac:dyDescent="0.2">
      <c r="B30" s="80" t="s">
        <v>152</v>
      </c>
      <c r="C30" s="76" t="s">
        <v>151</v>
      </c>
    </row>
  </sheetData>
  <mergeCells count="4">
    <mergeCell ref="B5:C5"/>
    <mergeCell ref="B13:C13"/>
    <mergeCell ref="B21:C21"/>
    <mergeCell ref="B27:C27"/>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
  <sheetViews>
    <sheetView showGridLines="0" tabSelected="1" zoomScaleNormal="100" workbookViewId="0">
      <pane ySplit="4" topLeftCell="A5" activePane="bottomLeft" state="frozen"/>
      <selection pane="bottomLeft" activeCell="B13" sqref="B13"/>
    </sheetView>
  </sheetViews>
  <sheetFormatPr baseColWidth="10" defaultColWidth="8.6640625" defaultRowHeight="19" x14ac:dyDescent="0.25"/>
  <cols>
    <col min="1" max="1" width="57.83203125" style="8" customWidth="1"/>
    <col min="2" max="2" width="21.83203125" style="8" customWidth="1"/>
    <col min="3" max="3" width="77.83203125" style="8" customWidth="1"/>
    <col min="4" max="16384" width="8.6640625" style="8"/>
  </cols>
  <sheetData>
    <row r="1" spans="1:3" ht="26" x14ac:dyDescent="0.3">
      <c r="A1" s="87" t="s">
        <v>23</v>
      </c>
    </row>
    <row r="2" spans="1:3" x14ac:dyDescent="0.25">
      <c r="A2" s="152" t="s">
        <v>165</v>
      </c>
      <c r="B2" s="151"/>
      <c r="C2" s="151"/>
    </row>
    <row r="4" spans="1:3" ht="49" customHeight="1" x14ac:dyDescent="0.25">
      <c r="A4" s="81" t="s">
        <v>24</v>
      </c>
      <c r="B4" s="81" t="s">
        <v>25</v>
      </c>
      <c r="C4" s="81" t="s">
        <v>26</v>
      </c>
    </row>
    <row r="5" spans="1:3" ht="26" customHeight="1" x14ac:dyDescent="0.25">
      <c r="A5" s="14" t="s">
        <v>27</v>
      </c>
      <c r="B5" s="13">
        <v>550</v>
      </c>
      <c r="C5" s="14" t="s">
        <v>28</v>
      </c>
    </row>
    <row r="6" spans="1:3" ht="26" customHeight="1" x14ac:dyDescent="0.25">
      <c r="A6" s="14" t="s">
        <v>29</v>
      </c>
      <c r="B6" s="13">
        <v>280</v>
      </c>
      <c r="C6" s="14" t="s">
        <v>30</v>
      </c>
    </row>
    <row r="7" spans="1:3" ht="26" customHeight="1" x14ac:dyDescent="0.25">
      <c r="A7" s="14" t="s">
        <v>31</v>
      </c>
      <c r="B7" s="13">
        <v>7050</v>
      </c>
      <c r="C7" s="14" t="s">
        <v>32</v>
      </c>
    </row>
    <row r="8" spans="1:3" ht="26" customHeight="1" x14ac:dyDescent="0.25">
      <c r="A8" s="14" t="s">
        <v>33</v>
      </c>
      <c r="B8" s="13">
        <v>210</v>
      </c>
      <c r="C8" s="14"/>
    </row>
    <row r="9" spans="1:3" ht="26" customHeight="1" x14ac:dyDescent="0.25">
      <c r="A9" s="14" t="s">
        <v>34</v>
      </c>
      <c r="B9" s="13">
        <v>270</v>
      </c>
      <c r="C9" s="14" t="s">
        <v>35</v>
      </c>
    </row>
    <row r="10" spans="1:3" ht="26" customHeight="1" x14ac:dyDescent="0.25">
      <c r="A10" s="14" t="s">
        <v>36</v>
      </c>
      <c r="B10" s="13">
        <v>25</v>
      </c>
      <c r="C10" s="14"/>
    </row>
    <row r="11" spans="1:3" ht="26" customHeight="1" x14ac:dyDescent="0.25">
      <c r="A11" s="14" t="s">
        <v>37</v>
      </c>
      <c r="B11" s="13">
        <v>760</v>
      </c>
      <c r="C11" s="14" t="s">
        <v>38</v>
      </c>
    </row>
    <row r="12" spans="1:3" ht="26" customHeight="1" x14ac:dyDescent="0.25">
      <c r="A12" s="14" t="s">
        <v>39</v>
      </c>
      <c r="B12" s="13">
        <v>100</v>
      </c>
      <c r="C12" s="14"/>
    </row>
    <row r="13" spans="1:3" ht="26" customHeight="1" x14ac:dyDescent="0.25">
      <c r="A13" s="14" t="s">
        <v>40</v>
      </c>
      <c r="B13" s="13">
        <v>0</v>
      </c>
      <c r="C13" s="14"/>
    </row>
    <row r="14" spans="1:3" ht="26" customHeight="1" x14ac:dyDescent="0.25">
      <c r="A14" s="14" t="s">
        <v>41</v>
      </c>
      <c r="B14" s="13">
        <v>80</v>
      </c>
      <c r="C14" s="14" t="s">
        <v>42</v>
      </c>
    </row>
    <row r="15" spans="1:3" ht="26" customHeight="1" x14ac:dyDescent="0.25">
      <c r="A15" s="14" t="s">
        <v>43</v>
      </c>
      <c r="B15" s="13">
        <v>50</v>
      </c>
      <c r="C15" s="14"/>
    </row>
    <row r="16" spans="1:3" ht="26" customHeight="1" x14ac:dyDescent="0.25">
      <c r="A16" s="13" t="s">
        <v>142</v>
      </c>
      <c r="B16" s="13">
        <v>0</v>
      </c>
      <c r="C16" s="14"/>
    </row>
    <row r="17" spans="1:3" ht="26" customHeight="1" x14ac:dyDescent="0.25">
      <c r="A17" s="13" t="s">
        <v>142</v>
      </c>
      <c r="B17" s="13">
        <v>0</v>
      </c>
      <c r="C17" s="14"/>
    </row>
    <row r="18" spans="1:3" ht="26" customHeight="1" x14ac:dyDescent="0.25">
      <c r="A18" s="15" t="s">
        <v>142</v>
      </c>
      <c r="B18" s="15">
        <v>0</v>
      </c>
      <c r="C18" s="14"/>
    </row>
    <row r="19" spans="1:3" x14ac:dyDescent="0.25">
      <c r="A19" s="73" t="s">
        <v>44</v>
      </c>
      <c r="B19" s="74">
        <f>SUM(B5:B18)</f>
        <v>9375</v>
      </c>
      <c r="C19" s="19" t="s">
        <v>143</v>
      </c>
    </row>
    <row r="20" spans="1:3" x14ac:dyDescent="0.25">
      <c r="A20" s="16" t="s">
        <v>45</v>
      </c>
      <c r="B20" s="17">
        <f>B19*12</f>
        <v>112500</v>
      </c>
      <c r="C20" s="18"/>
    </row>
  </sheetData>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3"/>
  <sheetViews>
    <sheetView showGridLines="0" zoomScaleNormal="100" workbookViewId="0">
      <pane xSplit="2" ySplit="5" topLeftCell="E6" activePane="bottomRight" state="frozen"/>
      <selection pane="topRight" activeCell="C1" sqref="C1"/>
      <selection pane="bottomLeft" activeCell="A6" sqref="A6"/>
      <selection pane="bottomRight" activeCell="G12" sqref="G12"/>
    </sheetView>
  </sheetViews>
  <sheetFormatPr baseColWidth="10" defaultColWidth="8.6640625" defaultRowHeight="19" x14ac:dyDescent="0.25"/>
  <cols>
    <col min="1" max="1" width="5" style="8" customWidth="1"/>
    <col min="2" max="2" width="36" style="8" customWidth="1"/>
    <col min="3" max="3" width="25.83203125" style="8" customWidth="1"/>
    <col min="4" max="4" width="27.83203125" style="8" customWidth="1"/>
    <col min="5" max="6" width="15" style="8" customWidth="1"/>
    <col min="7" max="7" width="16" style="8" customWidth="1"/>
    <col min="8" max="8" width="11.83203125" style="8" customWidth="1"/>
    <col min="9" max="9" width="12" style="8" customWidth="1"/>
    <col min="10" max="10" width="16" style="8" customWidth="1"/>
    <col min="11" max="11" width="16.5" style="8" customWidth="1"/>
    <col min="12" max="12" width="14" style="8" customWidth="1"/>
    <col min="13" max="16384" width="8.6640625" style="8"/>
  </cols>
  <sheetData>
    <row r="1" spans="1:12" ht="26" x14ac:dyDescent="0.3">
      <c r="A1" s="87" t="s">
        <v>46</v>
      </c>
    </row>
    <row r="2" spans="1:12" x14ac:dyDescent="0.25">
      <c r="A2" s="152" t="s">
        <v>161</v>
      </c>
      <c r="B2" s="151"/>
      <c r="C2" s="151"/>
      <c r="D2" s="151"/>
      <c r="E2" s="151"/>
      <c r="F2" s="151"/>
    </row>
    <row r="4" spans="1:12" ht="78" customHeight="1" x14ac:dyDescent="0.25">
      <c r="A4" s="52" t="s">
        <v>47</v>
      </c>
      <c r="B4" s="53" t="s">
        <v>48</v>
      </c>
      <c r="C4" s="52" t="s">
        <v>49</v>
      </c>
      <c r="D4" s="54" t="s">
        <v>50</v>
      </c>
      <c r="E4" s="52" t="s">
        <v>51</v>
      </c>
      <c r="F4" s="54" t="s">
        <v>52</v>
      </c>
      <c r="G4" s="52" t="s">
        <v>53</v>
      </c>
      <c r="H4" s="54" t="s">
        <v>54</v>
      </c>
      <c r="I4" s="52" t="s">
        <v>55</v>
      </c>
      <c r="J4" s="54" t="s">
        <v>56</v>
      </c>
      <c r="K4" s="52" t="s">
        <v>57</v>
      </c>
      <c r="L4" s="52" t="s">
        <v>58</v>
      </c>
    </row>
    <row r="5" spans="1:12" ht="47" customHeight="1" x14ac:dyDescent="0.25">
      <c r="A5" s="163"/>
      <c r="B5" s="164" t="s">
        <v>144</v>
      </c>
      <c r="C5" s="163" t="s">
        <v>144</v>
      </c>
      <c r="D5" s="164" t="s">
        <v>145</v>
      </c>
      <c r="E5" s="163" t="s">
        <v>59</v>
      </c>
      <c r="F5" s="164" t="s">
        <v>146</v>
      </c>
      <c r="G5" s="163" t="s">
        <v>167</v>
      </c>
      <c r="H5" s="164" t="s">
        <v>147</v>
      </c>
      <c r="I5" s="163" t="s">
        <v>166</v>
      </c>
      <c r="J5" s="164" t="s">
        <v>168</v>
      </c>
      <c r="K5" s="163" t="s">
        <v>148</v>
      </c>
      <c r="L5" s="163" t="s">
        <v>149</v>
      </c>
    </row>
    <row r="6" spans="1:12" ht="20" x14ac:dyDescent="0.25">
      <c r="A6" s="22">
        <v>1</v>
      </c>
      <c r="B6" s="154" t="s">
        <v>60</v>
      </c>
      <c r="C6" s="155">
        <v>42</v>
      </c>
      <c r="D6" s="156">
        <v>3</v>
      </c>
      <c r="E6" s="157">
        <f t="shared" ref="E6:E15" si="0">C6+D6</f>
        <v>45</v>
      </c>
      <c r="F6" s="156">
        <v>15</v>
      </c>
      <c r="G6" s="158">
        <f t="shared" ref="G6:G15" si="1">E6+F6</f>
        <v>60</v>
      </c>
      <c r="H6" s="159">
        <v>0.21</v>
      </c>
      <c r="I6" s="157">
        <f t="shared" ref="I6:I15" si="2">G6*H6</f>
        <v>12.6</v>
      </c>
      <c r="J6" s="160">
        <f t="shared" ref="J6:J15" si="3">G6+I6</f>
        <v>72.599999999999994</v>
      </c>
      <c r="K6" s="161">
        <f t="shared" ref="K6:K16" si="4">IFERROR(F6/E6,0)</f>
        <v>0.33333333333333331</v>
      </c>
      <c r="L6" s="162">
        <v>0.45</v>
      </c>
    </row>
    <row r="7" spans="1:12" x14ac:dyDescent="0.25">
      <c r="A7" s="22">
        <v>2</v>
      </c>
      <c r="B7" s="23" t="s">
        <v>61</v>
      </c>
      <c r="C7" s="25">
        <v>85</v>
      </c>
      <c r="D7" s="27">
        <v>12</v>
      </c>
      <c r="E7" s="29">
        <f t="shared" si="0"/>
        <v>97</v>
      </c>
      <c r="F7" s="27">
        <v>83</v>
      </c>
      <c r="G7" s="30">
        <f t="shared" si="1"/>
        <v>180</v>
      </c>
      <c r="H7" s="31">
        <v>0.21</v>
      </c>
      <c r="I7" s="29">
        <f t="shared" si="2"/>
        <v>37.799999999999997</v>
      </c>
      <c r="J7" s="32">
        <f t="shared" si="3"/>
        <v>217.8</v>
      </c>
      <c r="K7" s="33">
        <f t="shared" si="4"/>
        <v>0.85567010309278346</v>
      </c>
      <c r="L7" s="50">
        <v>0.25</v>
      </c>
    </row>
    <row r="8" spans="1:12" x14ac:dyDescent="0.25">
      <c r="A8" s="22">
        <v>3</v>
      </c>
      <c r="B8" s="23" t="s">
        <v>62</v>
      </c>
      <c r="C8" s="25">
        <v>9</v>
      </c>
      <c r="D8" s="27">
        <v>1</v>
      </c>
      <c r="E8" s="29">
        <f t="shared" si="0"/>
        <v>10</v>
      </c>
      <c r="F8" s="27">
        <v>15</v>
      </c>
      <c r="G8" s="30">
        <f t="shared" si="1"/>
        <v>25</v>
      </c>
      <c r="H8" s="31">
        <v>0.21</v>
      </c>
      <c r="I8" s="29">
        <f t="shared" si="2"/>
        <v>5.25</v>
      </c>
      <c r="J8" s="32">
        <f t="shared" si="3"/>
        <v>30.25</v>
      </c>
      <c r="K8" s="33">
        <f t="shared" si="4"/>
        <v>1.5</v>
      </c>
      <c r="L8" s="50">
        <v>0.2</v>
      </c>
    </row>
    <row r="9" spans="1:12" x14ac:dyDescent="0.25">
      <c r="A9" s="22">
        <v>4</v>
      </c>
      <c r="B9" s="24" t="s">
        <v>162</v>
      </c>
      <c r="C9" s="26">
        <v>10</v>
      </c>
      <c r="D9" s="28">
        <v>1</v>
      </c>
      <c r="E9" s="29">
        <f t="shared" si="0"/>
        <v>11</v>
      </c>
      <c r="F9" s="27">
        <v>10</v>
      </c>
      <c r="G9" s="30">
        <f t="shared" si="1"/>
        <v>21</v>
      </c>
      <c r="H9" s="31">
        <v>0.21</v>
      </c>
      <c r="I9" s="29">
        <f t="shared" si="2"/>
        <v>4.41</v>
      </c>
      <c r="J9" s="32">
        <f t="shared" si="3"/>
        <v>25.41</v>
      </c>
      <c r="K9" s="33">
        <f t="shared" si="4"/>
        <v>0.90909090909090906</v>
      </c>
      <c r="L9" s="50">
        <v>0.1</v>
      </c>
    </row>
    <row r="10" spans="1:12" x14ac:dyDescent="0.25">
      <c r="A10" s="22">
        <v>5</v>
      </c>
      <c r="B10" s="24"/>
      <c r="C10" s="26"/>
      <c r="D10" s="28"/>
      <c r="E10" s="29">
        <f t="shared" si="0"/>
        <v>0</v>
      </c>
      <c r="F10" s="27"/>
      <c r="G10" s="30">
        <f t="shared" si="1"/>
        <v>0</v>
      </c>
      <c r="H10" s="31">
        <v>0.21</v>
      </c>
      <c r="I10" s="29">
        <f t="shared" si="2"/>
        <v>0</v>
      </c>
      <c r="J10" s="32">
        <f t="shared" si="3"/>
        <v>0</v>
      </c>
      <c r="K10" s="33">
        <f t="shared" si="4"/>
        <v>0</v>
      </c>
      <c r="L10" s="50"/>
    </row>
    <row r="11" spans="1:12" x14ac:dyDescent="0.25">
      <c r="A11" s="22">
        <v>6</v>
      </c>
      <c r="B11" s="24"/>
      <c r="C11" s="26"/>
      <c r="D11" s="28"/>
      <c r="E11" s="29">
        <f t="shared" si="0"/>
        <v>0</v>
      </c>
      <c r="F11" s="27"/>
      <c r="G11" s="30">
        <f t="shared" si="1"/>
        <v>0</v>
      </c>
      <c r="H11" s="31">
        <v>0.21</v>
      </c>
      <c r="I11" s="29">
        <f t="shared" si="2"/>
        <v>0</v>
      </c>
      <c r="J11" s="32">
        <f t="shared" si="3"/>
        <v>0</v>
      </c>
      <c r="K11" s="33">
        <f t="shared" si="4"/>
        <v>0</v>
      </c>
      <c r="L11" s="50"/>
    </row>
    <row r="12" spans="1:12" x14ac:dyDescent="0.25">
      <c r="A12" s="22">
        <v>7</v>
      </c>
      <c r="B12" s="24"/>
      <c r="C12" s="26"/>
      <c r="D12" s="28"/>
      <c r="E12" s="29">
        <f t="shared" si="0"/>
        <v>0</v>
      </c>
      <c r="F12" s="27"/>
      <c r="G12" s="30">
        <f t="shared" si="1"/>
        <v>0</v>
      </c>
      <c r="H12" s="31">
        <v>0.21</v>
      </c>
      <c r="I12" s="29">
        <f t="shared" si="2"/>
        <v>0</v>
      </c>
      <c r="J12" s="32">
        <f t="shared" si="3"/>
        <v>0</v>
      </c>
      <c r="K12" s="33">
        <f t="shared" si="4"/>
        <v>0</v>
      </c>
      <c r="L12" s="50"/>
    </row>
    <row r="13" spans="1:12" x14ac:dyDescent="0.25">
      <c r="A13" s="22">
        <v>8</v>
      </c>
      <c r="B13" s="24"/>
      <c r="C13" s="26"/>
      <c r="D13" s="28"/>
      <c r="E13" s="29">
        <f t="shared" si="0"/>
        <v>0</v>
      </c>
      <c r="F13" s="27"/>
      <c r="G13" s="30">
        <f t="shared" si="1"/>
        <v>0</v>
      </c>
      <c r="H13" s="31">
        <v>0.21</v>
      </c>
      <c r="I13" s="29">
        <f t="shared" si="2"/>
        <v>0</v>
      </c>
      <c r="J13" s="32">
        <f t="shared" si="3"/>
        <v>0</v>
      </c>
      <c r="K13" s="33">
        <f t="shared" si="4"/>
        <v>0</v>
      </c>
      <c r="L13" s="50"/>
    </row>
    <row r="14" spans="1:12" x14ac:dyDescent="0.25">
      <c r="A14" s="22">
        <v>9</v>
      </c>
      <c r="B14" s="24"/>
      <c r="C14" s="26"/>
      <c r="D14" s="28"/>
      <c r="E14" s="29">
        <f t="shared" si="0"/>
        <v>0</v>
      </c>
      <c r="F14" s="27"/>
      <c r="G14" s="30">
        <f t="shared" si="1"/>
        <v>0</v>
      </c>
      <c r="H14" s="31">
        <v>0.21</v>
      </c>
      <c r="I14" s="29">
        <f t="shared" si="2"/>
        <v>0</v>
      </c>
      <c r="J14" s="32">
        <f t="shared" si="3"/>
        <v>0</v>
      </c>
      <c r="K14" s="33">
        <f t="shared" si="4"/>
        <v>0</v>
      </c>
      <c r="L14" s="50"/>
    </row>
    <row r="15" spans="1:12" x14ac:dyDescent="0.25">
      <c r="A15" s="22">
        <v>10</v>
      </c>
      <c r="B15" s="34"/>
      <c r="C15" s="35"/>
      <c r="D15" s="36"/>
      <c r="E15" s="37">
        <f t="shared" si="0"/>
        <v>0</v>
      </c>
      <c r="F15" s="38"/>
      <c r="G15" s="39">
        <f t="shared" si="1"/>
        <v>0</v>
      </c>
      <c r="H15" s="40">
        <v>0.21</v>
      </c>
      <c r="I15" s="37">
        <f t="shared" si="2"/>
        <v>0</v>
      </c>
      <c r="J15" s="41">
        <f t="shared" si="3"/>
        <v>0</v>
      </c>
      <c r="K15" s="42">
        <f t="shared" si="4"/>
        <v>0</v>
      </c>
      <c r="L15" s="51"/>
    </row>
    <row r="16" spans="1:12" x14ac:dyDescent="0.25">
      <c r="A16" s="43"/>
      <c r="B16" s="44" t="s">
        <v>63</v>
      </c>
      <c r="C16" s="45">
        <f>IFERROR(SUMPRODUCT(C6:C15,$L6:$L15)/SUM($L6:$L15),0)</f>
        <v>42.95000000000001</v>
      </c>
      <c r="D16" s="46">
        <f>IFERROR(SUMPRODUCT(D6:D15,$L6:$L15)/SUM($L6:$L15),0)</f>
        <v>4.6500000000000004</v>
      </c>
      <c r="E16" s="45">
        <f>IFERROR(SUMPRODUCT(E6:E15,$L6:$L15)/SUM($L6:$L15),0)</f>
        <v>47.600000000000009</v>
      </c>
      <c r="F16" s="46">
        <f>IFERROR(SUMPRODUCT(F6:F15,$L6:$L15)/SUM($L6:$L15),0)</f>
        <v>31.500000000000004</v>
      </c>
      <c r="G16" s="45">
        <f>IFERROR(SUMPRODUCT(G6:G15,$L6:$L15)/SUM($L6:$L15),0)</f>
        <v>79.100000000000009</v>
      </c>
      <c r="H16" s="47"/>
      <c r="I16" s="43"/>
      <c r="J16" s="47"/>
      <c r="K16" s="48">
        <f t="shared" si="4"/>
        <v>0.66176470588235292</v>
      </c>
      <c r="L16" s="49">
        <f>SUM(L6:L15)</f>
        <v>0.99999999999999989</v>
      </c>
    </row>
    <row r="17" spans="2:3" x14ac:dyDescent="0.25">
      <c r="B17" s="7" t="s">
        <v>64</v>
      </c>
      <c r="C17" s="20" t="str">
        <f>IF(ROUND(L16,4)=1,"Labi – īpatsvars kopā ir 100%","UZMANĪBU: īpatsvaram kopā jābūt 100%")</f>
        <v>Labi – īpatsvars kopā ir 100%</v>
      </c>
    </row>
    <row r="19" spans="2:3" x14ac:dyDescent="0.25">
      <c r="B19" s="7" t="s">
        <v>65</v>
      </c>
    </row>
    <row r="20" spans="2:3" x14ac:dyDescent="0.25">
      <c r="B20" s="10" t="str">
        <f>"Piemērs ("&amp;B6&amp;"): pašizmaksa "&amp;ROUND(E6,2)&amp;" € + uzcenojums "&amp;ROUND(F6,2)&amp;" € = cena bez PVN "&amp;ROUND(G6,2)&amp;" €. Pieskaitot PVN "&amp;ROUND(I6,2)&amp;" €, klients maksā "&amp;ROUND(J6,2)&amp;" €."</f>
        <v>Piemērs (Konsultācija (1 stunda)): pašizmaksa 45 € + uzcenojums 15 € = cena bez PVN 60 €. Pieskaitot PVN 12.6 €, klients maksā 72.6 €.</v>
      </c>
    </row>
    <row r="21" spans="2:3" x14ac:dyDescent="0.25">
      <c r="B21" s="10" t="s">
        <v>66</v>
      </c>
    </row>
    <row r="22" spans="2:3" x14ac:dyDescent="0.25">
      <c r="B22" s="10" t="s">
        <v>67</v>
      </c>
    </row>
    <row r="23" spans="2:3" x14ac:dyDescent="0.25">
      <c r="B23" s="10" t="s">
        <v>68</v>
      </c>
    </row>
  </sheetData>
  <dataValidations count="2">
    <dataValidation type="decimal" showErrorMessage="1" errorTitle="PVN likme" error="Ierakstiet procentus, piemēram, 21% vai 0%." sqref="H6:H15" xr:uid="{00000000-0002-0000-0200-000000000000}">
      <formula1>0</formula1>
      <formula2>1</formula2>
    </dataValidation>
    <dataValidation type="decimal" showErrorMessage="1" errorTitle="Īpatsvars" error="Ierakstiet procentus no 0% līdz 100%." sqref="L6:L15" xr:uid="{00000000-0002-0000-0200-000001000000}">
      <formula1>0</formula1>
      <formula2>1</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4"/>
  <sheetViews>
    <sheetView showGridLines="0" topLeftCell="A22" zoomScaleNormal="100" workbookViewId="0">
      <selection activeCell="A4" sqref="A4:F4"/>
    </sheetView>
  </sheetViews>
  <sheetFormatPr baseColWidth="10" defaultColWidth="8.6640625" defaultRowHeight="19" x14ac:dyDescent="0.25"/>
  <cols>
    <col min="1" max="1" width="3" style="8" customWidth="1"/>
    <col min="2" max="2" width="62.1640625" style="8" customWidth="1"/>
    <col min="3" max="5" width="18" style="8" customWidth="1"/>
    <col min="6" max="6" width="40" style="8" customWidth="1"/>
    <col min="7" max="16384" width="8.6640625" style="8"/>
  </cols>
  <sheetData>
    <row r="1" spans="1:6" ht="26" x14ac:dyDescent="0.3">
      <c r="A1" s="87" t="s">
        <v>69</v>
      </c>
    </row>
    <row r="2" spans="1:6" x14ac:dyDescent="0.25">
      <c r="A2" s="150" t="s">
        <v>70</v>
      </c>
      <c r="B2" s="151"/>
      <c r="C2" s="151"/>
      <c r="D2" s="151"/>
    </row>
    <row r="4" spans="1:6" s="82" customFormat="1" ht="71" customHeight="1" x14ac:dyDescent="0.25">
      <c r="A4" s="171" t="s">
        <v>170</v>
      </c>
      <c r="B4" s="172"/>
      <c r="C4" s="172"/>
      <c r="D4" s="172"/>
      <c r="E4" s="172"/>
      <c r="F4" s="172"/>
    </row>
    <row r="5" spans="1:6" x14ac:dyDescent="0.25">
      <c r="B5" s="10" t="s">
        <v>71</v>
      </c>
      <c r="C5" s="56">
        <f>'Fiksētās izmaksas'!B19</f>
        <v>9375</v>
      </c>
      <c r="D5" s="9" t="s">
        <v>72</v>
      </c>
    </row>
    <row r="6" spans="1:6" x14ac:dyDescent="0.25">
      <c r="B6" s="10" t="s">
        <v>73</v>
      </c>
      <c r="C6" s="56">
        <f>'Cenu aprēķins'!G16</f>
        <v>79.100000000000009</v>
      </c>
    </row>
    <row r="7" spans="1:6" x14ac:dyDescent="0.25">
      <c r="B7" s="10" t="s">
        <v>74</v>
      </c>
      <c r="C7" s="56">
        <f>'Cenu aprēķins'!E16</f>
        <v>47.600000000000009</v>
      </c>
    </row>
    <row r="8" spans="1:6" x14ac:dyDescent="0.25">
      <c r="B8" s="10" t="s">
        <v>75</v>
      </c>
      <c r="C8" s="57">
        <f>C6-C7</f>
        <v>31.5</v>
      </c>
      <c r="D8" s="9" t="s">
        <v>76</v>
      </c>
    </row>
    <row r="10" spans="1:6" ht="69" customHeight="1" x14ac:dyDescent="0.25">
      <c r="A10" s="171" t="s">
        <v>169</v>
      </c>
      <c r="B10" s="172"/>
      <c r="C10" s="172"/>
      <c r="D10" s="172"/>
      <c r="E10" s="172"/>
      <c r="F10" s="172"/>
    </row>
    <row r="11" spans="1:6" x14ac:dyDescent="0.25">
      <c r="B11" s="66" t="s">
        <v>77</v>
      </c>
      <c r="C11" s="67">
        <f>IF(C8&lt;=0,0,ROUNDUP(C5/C8,0))</f>
        <v>298</v>
      </c>
    </row>
    <row r="12" spans="1:6" x14ac:dyDescent="0.25">
      <c r="B12" s="60" t="s">
        <v>78</v>
      </c>
      <c r="C12" s="61">
        <f>C11*C6</f>
        <v>23571.800000000003</v>
      </c>
    </row>
    <row r="13" spans="1:6" x14ac:dyDescent="0.25">
      <c r="B13" s="60" t="s">
        <v>79</v>
      </c>
      <c r="C13" s="62">
        <f>ROUNDUP(C11/22,0)</f>
        <v>14</v>
      </c>
    </row>
    <row r="14" spans="1:6" x14ac:dyDescent="0.25">
      <c r="B14" s="60" t="s">
        <v>80</v>
      </c>
      <c r="C14" s="62">
        <f>C11*12</f>
        <v>3576</v>
      </c>
    </row>
    <row r="15" spans="1:6" x14ac:dyDescent="0.25">
      <c r="B15" s="63" t="s">
        <v>81</v>
      </c>
      <c r="C15" s="64">
        <f>C12*12</f>
        <v>282861.60000000003</v>
      </c>
    </row>
    <row r="16" spans="1:6" ht="33.75" customHeight="1" x14ac:dyDescent="0.25">
      <c r="B16" s="173" t="str">
        <f>IF(C8&lt;=0,"UZMANĪBU: pie šīm cenām katra pārdošana nenes naudu fiksēto izmaksu segšanai. Paceliet uzcenojumu vai samaziniet izmaksas.","Lai nestrādātu ar zaudējumiem, mēnesī jāpārdod vismaz "&amp;C11&amp;" pakalpojumi (aptuveni "&amp;C13&amp;" dienā), kas dod "&amp;ROUND(C12,0)&amp;" € ieņēmumu bez PVN.")</f>
        <v>Lai nestrādātu ar zaudējumiem, mēnesī jāpārdod vismaz 298 pakalpojumi (aptuveni 14 dienā), kas dod 23572 € ieņēmumu bez PVN.</v>
      </c>
      <c r="C16" s="173"/>
      <c r="D16" s="174"/>
      <c r="E16" s="174"/>
      <c r="F16" s="174"/>
    </row>
    <row r="18" spans="1:6" ht="58" customHeight="1" x14ac:dyDescent="0.25">
      <c r="A18" s="171" t="s">
        <v>82</v>
      </c>
      <c r="B18" s="172"/>
      <c r="C18" s="172"/>
      <c r="D18" s="172"/>
      <c r="E18" s="172"/>
      <c r="F18" s="172"/>
    </row>
    <row r="19" spans="1:6" x14ac:dyDescent="0.25">
      <c r="B19" s="65" t="s">
        <v>156</v>
      </c>
      <c r="C19" s="83">
        <v>2000</v>
      </c>
      <c r="D19" s="85" t="s">
        <v>157</v>
      </c>
    </row>
    <row r="20" spans="1:6" x14ac:dyDescent="0.25">
      <c r="B20" s="68" t="s">
        <v>83</v>
      </c>
      <c r="C20" s="69">
        <f>IF(C8&lt;=0,0,ROUNDUP((C5+C19)/C8,0))</f>
        <v>362</v>
      </c>
    </row>
    <row r="21" spans="1:6" x14ac:dyDescent="0.25">
      <c r="B21" s="63" t="s">
        <v>78</v>
      </c>
      <c r="C21" s="64">
        <f>C20*C6</f>
        <v>28634.200000000004</v>
      </c>
    </row>
    <row r="23" spans="1:6" ht="54" customHeight="1" x14ac:dyDescent="0.25">
      <c r="A23" s="171" t="s">
        <v>84</v>
      </c>
      <c r="B23" s="172"/>
      <c r="C23" s="172"/>
      <c r="D23" s="172"/>
      <c r="E23" s="172"/>
      <c r="F23" s="172"/>
    </row>
    <row r="24" spans="1:6" x14ac:dyDescent="0.25">
      <c r="B24" s="65" t="s">
        <v>158</v>
      </c>
      <c r="C24" s="84">
        <v>400</v>
      </c>
      <c r="D24" s="85" t="s">
        <v>157</v>
      </c>
    </row>
    <row r="25" spans="1:6" x14ac:dyDescent="0.25">
      <c r="B25" s="68" t="s">
        <v>85</v>
      </c>
      <c r="C25" s="70">
        <f>C24*C8-C5</f>
        <v>3225</v>
      </c>
    </row>
    <row r="26" spans="1:6" x14ac:dyDescent="0.25">
      <c r="B26" s="71" t="s">
        <v>12</v>
      </c>
      <c r="C26" s="72">
        <f>IFERROR((C24-C11)/C24,0)</f>
        <v>0.255</v>
      </c>
      <c r="D26" s="9" t="s">
        <v>86</v>
      </c>
    </row>
    <row r="27" spans="1:6" ht="21.75" customHeight="1" x14ac:dyDescent="0.25">
      <c r="B27" s="175" t="str">
        <f>IF(C25&lt;0,"Pie šī plāna būs zaudējumi – plānotais apjoms ir zem bezzaudējuma punkta.",IF(C26&lt;0.1,"Plāns ir pārāk tuvu robežai – neliels kritums pārdošanā radīs zaudējumus.","Plāns ir drošs – ir rezerve, ja pārdošana kļūst vājāka."))</f>
        <v>Plāns ir drošs – ir rezerve, ja pārdošana kļūst vājāka.</v>
      </c>
      <c r="C27" s="175"/>
      <c r="D27" s="176"/>
      <c r="E27" s="176"/>
      <c r="F27" s="176"/>
    </row>
    <row r="28" spans="1:6" x14ac:dyDescent="0.25">
      <c r="B28" s="9" t="s">
        <v>154</v>
      </c>
    </row>
    <row r="30" spans="1:6" ht="57" customHeight="1" x14ac:dyDescent="0.25">
      <c r="A30" s="171" t="s">
        <v>155</v>
      </c>
      <c r="B30" s="172"/>
      <c r="C30" s="172"/>
      <c r="D30" s="172"/>
      <c r="E30" s="172"/>
      <c r="F30" s="172"/>
    </row>
    <row r="31" spans="1:6" ht="59" customHeight="1" x14ac:dyDescent="0.25">
      <c r="B31" s="21" t="s">
        <v>87</v>
      </c>
      <c r="C31" s="21" t="s">
        <v>88</v>
      </c>
      <c r="D31" s="21" t="s">
        <v>89</v>
      </c>
      <c r="E31" s="21" t="s">
        <v>90</v>
      </c>
    </row>
    <row r="32" spans="1:6" x14ac:dyDescent="0.25">
      <c r="B32" s="136" t="str">
        <f>IF('Cenu aprēķins'!B6="","",'Cenu aprēķins'!B6)</f>
        <v>Konsultācija (1 stunda)</v>
      </c>
      <c r="C32" s="137">
        <f>'Cenu aprēķins'!L6</f>
        <v>0.45</v>
      </c>
      <c r="D32" s="138">
        <f t="shared" ref="D32:D41" si="0">ROUNDUP($C$11*C32,0)</f>
        <v>135</v>
      </c>
      <c r="E32" s="139">
        <f t="shared" ref="E32:E41" si="1">ROUND($C$24*C32,0)</f>
        <v>180</v>
      </c>
    </row>
    <row r="33" spans="2:5" x14ac:dyDescent="0.25">
      <c r="B33" s="140" t="str">
        <f>IF('Cenu aprēķins'!B7="","",'Cenu aprēķins'!B7)</f>
        <v>Projekta pakete (standarta)</v>
      </c>
      <c r="C33" s="58">
        <f>'Cenu aprēķins'!L7</f>
        <v>0.25</v>
      </c>
      <c r="D33" s="59">
        <f t="shared" si="0"/>
        <v>75</v>
      </c>
      <c r="E33" s="141">
        <f t="shared" si="1"/>
        <v>100</v>
      </c>
    </row>
    <row r="34" spans="2:5" x14ac:dyDescent="0.25">
      <c r="B34" s="140" t="str">
        <f>IF('Cenu aprēķins'!B8="","",'Cenu aprēķins'!B8)</f>
        <v>Ikmēneša uzturēšana (abonements)</v>
      </c>
      <c r="C34" s="58">
        <f>'Cenu aprēķins'!L8</f>
        <v>0.2</v>
      </c>
      <c r="D34" s="59">
        <f t="shared" si="0"/>
        <v>60</v>
      </c>
      <c r="E34" s="141">
        <f t="shared" si="1"/>
        <v>80</v>
      </c>
    </row>
    <row r="35" spans="2:5" x14ac:dyDescent="0.25">
      <c r="B35" s="140" t="str">
        <f>IF('Cenu aprēķins'!B9="","",'Cenu aprēķins'!B9)</f>
        <v>Pakalbojums B</v>
      </c>
      <c r="C35" s="58">
        <f>'Cenu aprēķins'!L9</f>
        <v>0.1</v>
      </c>
      <c r="D35" s="59">
        <f t="shared" si="0"/>
        <v>30</v>
      </c>
      <c r="E35" s="141">
        <f t="shared" si="1"/>
        <v>40</v>
      </c>
    </row>
    <row r="36" spans="2:5" x14ac:dyDescent="0.25">
      <c r="B36" s="140" t="str">
        <f>IF('Cenu aprēķins'!B10="","",'Cenu aprēķins'!B10)</f>
        <v/>
      </c>
      <c r="C36" s="58">
        <f>'Cenu aprēķins'!L10</f>
        <v>0</v>
      </c>
      <c r="D36" s="59">
        <f t="shared" si="0"/>
        <v>0</v>
      </c>
      <c r="E36" s="141">
        <f t="shared" si="1"/>
        <v>0</v>
      </c>
    </row>
    <row r="37" spans="2:5" x14ac:dyDescent="0.25">
      <c r="B37" s="140" t="str">
        <f>IF('Cenu aprēķins'!B11="","",'Cenu aprēķins'!B11)</f>
        <v/>
      </c>
      <c r="C37" s="58">
        <f>'Cenu aprēķins'!L11</f>
        <v>0</v>
      </c>
      <c r="D37" s="59">
        <f t="shared" si="0"/>
        <v>0</v>
      </c>
      <c r="E37" s="141">
        <f t="shared" si="1"/>
        <v>0</v>
      </c>
    </row>
    <row r="38" spans="2:5" x14ac:dyDescent="0.25">
      <c r="B38" s="140" t="str">
        <f>IF('Cenu aprēķins'!B12="","",'Cenu aprēķins'!B12)</f>
        <v/>
      </c>
      <c r="C38" s="58">
        <f>'Cenu aprēķins'!L12</f>
        <v>0</v>
      </c>
      <c r="D38" s="59">
        <f t="shared" si="0"/>
        <v>0</v>
      </c>
      <c r="E38" s="141">
        <f t="shared" si="1"/>
        <v>0</v>
      </c>
    </row>
    <row r="39" spans="2:5" x14ac:dyDescent="0.25">
      <c r="B39" s="140" t="str">
        <f>IF('Cenu aprēķins'!B13="","",'Cenu aprēķins'!B13)</f>
        <v/>
      </c>
      <c r="C39" s="58">
        <f>'Cenu aprēķins'!L13</f>
        <v>0</v>
      </c>
      <c r="D39" s="59">
        <f t="shared" si="0"/>
        <v>0</v>
      </c>
      <c r="E39" s="141">
        <f t="shared" si="1"/>
        <v>0</v>
      </c>
    </row>
    <row r="40" spans="2:5" x14ac:dyDescent="0.25">
      <c r="B40" s="140" t="str">
        <f>IF('Cenu aprēķins'!B14="","",'Cenu aprēķins'!B14)</f>
        <v/>
      </c>
      <c r="C40" s="58">
        <f>'Cenu aprēķins'!L14</f>
        <v>0</v>
      </c>
      <c r="D40" s="59">
        <f t="shared" si="0"/>
        <v>0</v>
      </c>
      <c r="E40" s="141">
        <f t="shared" si="1"/>
        <v>0</v>
      </c>
    </row>
    <row r="41" spans="2:5" x14ac:dyDescent="0.25">
      <c r="B41" s="142" t="str">
        <f>IF('Cenu aprēķins'!B15="","",'Cenu aprēķins'!B15)</f>
        <v/>
      </c>
      <c r="C41" s="143">
        <f>'Cenu aprēķins'!L15</f>
        <v>0</v>
      </c>
      <c r="D41" s="144">
        <f t="shared" si="0"/>
        <v>0</v>
      </c>
      <c r="E41" s="145">
        <f t="shared" si="1"/>
        <v>0</v>
      </c>
    </row>
    <row r="42" spans="2:5" x14ac:dyDescent="0.25">
      <c r="B42" s="146" t="s">
        <v>91</v>
      </c>
      <c r="C42" s="147">
        <f>SUM(C32:C41)</f>
        <v>0.99999999999999989</v>
      </c>
      <c r="D42" s="148">
        <f>SUM(D32:D41)</f>
        <v>300</v>
      </c>
      <c r="E42" s="149">
        <f>SUM(E32:E41)</f>
        <v>400</v>
      </c>
    </row>
    <row r="44" spans="2:5" x14ac:dyDescent="0.25">
      <c r="B44" s="9" t="s">
        <v>92</v>
      </c>
    </row>
  </sheetData>
  <mergeCells count="7">
    <mergeCell ref="A30:F30"/>
    <mergeCell ref="B16:F16"/>
    <mergeCell ref="B27:F27"/>
    <mergeCell ref="A4:F4"/>
    <mergeCell ref="A10:F10"/>
    <mergeCell ref="A18:F18"/>
    <mergeCell ref="A23:F23"/>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0"/>
  <sheetViews>
    <sheetView showGridLines="0" zoomScaleNormal="100" workbookViewId="0">
      <selection activeCell="A15" sqref="A15"/>
    </sheetView>
  </sheetViews>
  <sheetFormatPr baseColWidth="10" defaultColWidth="8.6640625" defaultRowHeight="15" x14ac:dyDescent="0.2"/>
  <cols>
    <col min="1" max="1" width="30" style="55" customWidth="1"/>
    <col min="2" max="2" width="20" style="55" customWidth="1"/>
    <col min="3" max="3" width="24.5" style="55" customWidth="1"/>
    <col min="4" max="5" width="24" style="55" customWidth="1"/>
    <col min="6" max="6" width="3" style="55" customWidth="1"/>
    <col min="7" max="14" width="10" style="55" customWidth="1"/>
    <col min="15" max="16384" width="8.6640625" style="55"/>
  </cols>
  <sheetData>
    <row r="1" spans="1:5" ht="35" customHeight="1" x14ac:dyDescent="0.3">
      <c r="A1" s="87" t="s">
        <v>93</v>
      </c>
    </row>
    <row r="2" spans="1:5" ht="19" x14ac:dyDescent="0.25">
      <c r="A2" s="9" t="s">
        <v>94</v>
      </c>
    </row>
    <row r="4" spans="1:5" s="86" customFormat="1" ht="62" customHeight="1" x14ac:dyDescent="0.2">
      <c r="A4" s="177" t="s">
        <v>95</v>
      </c>
      <c r="B4" s="178"/>
      <c r="C4" s="178"/>
      <c r="D4" s="178"/>
      <c r="E4" s="179"/>
    </row>
    <row r="5" spans="1:5" ht="55.5" customHeight="1" x14ac:dyDescent="0.2">
      <c r="A5" s="21" t="s">
        <v>96</v>
      </c>
      <c r="B5" s="21" t="s">
        <v>97</v>
      </c>
      <c r="C5" s="21" t="s">
        <v>75</v>
      </c>
      <c r="D5" s="21" t="s">
        <v>98</v>
      </c>
      <c r="E5" s="21" t="s">
        <v>99</v>
      </c>
    </row>
    <row r="6" spans="1:5" ht="19" x14ac:dyDescent="0.25">
      <c r="A6" s="165">
        <v>-0.2</v>
      </c>
      <c r="B6" s="94">
        <f>Rezultāti!$C$6*(1+A6)</f>
        <v>63.280000000000008</v>
      </c>
      <c r="C6" s="95">
        <f>B6-Rezultāti!$C$7</f>
        <v>15.68</v>
      </c>
      <c r="D6" s="96">
        <f>IF(C6&lt;=0,"nav iespējams",ROUNDUP(Rezultāti!$C$5/C6,0))</f>
        <v>598</v>
      </c>
      <c r="E6" s="97">
        <f>Rezultāti!$C$24*C6-Rezultāti!$C$5</f>
        <v>-3103</v>
      </c>
    </row>
    <row r="7" spans="1:5" ht="19" x14ac:dyDescent="0.25">
      <c r="A7" s="166">
        <v>-0.15</v>
      </c>
      <c r="B7" s="92">
        <f>Rezultāti!$C$6*(1+A7)</f>
        <v>67.234999999999999</v>
      </c>
      <c r="C7" s="56">
        <f>B7-Rezultāti!$C$7</f>
        <v>19.634999999999991</v>
      </c>
      <c r="D7" s="88">
        <f>IF(C7&lt;=0,"nav iespējams",ROUNDUP(Rezultāti!$C$5/C7,0))</f>
        <v>478</v>
      </c>
      <c r="E7" s="98">
        <f>Rezultāti!$C$24*C7-Rezultāti!$C$5</f>
        <v>-1521.0000000000036</v>
      </c>
    </row>
    <row r="8" spans="1:5" ht="19" x14ac:dyDescent="0.25">
      <c r="A8" s="166">
        <v>-0.1</v>
      </c>
      <c r="B8" s="92">
        <f>Rezultāti!$C$6*(1+A8)</f>
        <v>71.190000000000012</v>
      </c>
      <c r="C8" s="56">
        <f>B8-Rezultāti!$C$7</f>
        <v>23.590000000000003</v>
      </c>
      <c r="D8" s="88">
        <f>IF(C8&lt;=0,"nav iespējams",ROUNDUP(Rezultāti!$C$5/C8,0))</f>
        <v>398</v>
      </c>
      <c r="E8" s="98">
        <f>Rezultāti!$C$24*C8-Rezultāti!$C$5</f>
        <v>61.000000000001819</v>
      </c>
    </row>
    <row r="9" spans="1:5" ht="19" x14ac:dyDescent="0.25">
      <c r="A9" s="166">
        <v>-0.05</v>
      </c>
      <c r="B9" s="92">
        <f>Rezultāti!$C$6*(1+A9)</f>
        <v>75.14500000000001</v>
      </c>
      <c r="C9" s="56">
        <f>B9-Rezultāti!$C$7</f>
        <v>27.545000000000002</v>
      </c>
      <c r="D9" s="88">
        <f>IF(C9&lt;=0,"nav iespējams",ROUNDUP(Rezultāti!$C$5/C9,0))</f>
        <v>341</v>
      </c>
      <c r="E9" s="98">
        <f>Rezultāti!$C$24*C9-Rezultāti!$C$5</f>
        <v>1643</v>
      </c>
    </row>
    <row r="10" spans="1:5" ht="19" x14ac:dyDescent="0.25">
      <c r="A10" s="166">
        <v>0</v>
      </c>
      <c r="B10" s="93">
        <f>Rezultāti!$C$6*(1+A10)</f>
        <v>79.100000000000009</v>
      </c>
      <c r="C10" s="89">
        <f>B10-Rezultāti!$C$7</f>
        <v>31.5</v>
      </c>
      <c r="D10" s="90">
        <f>IF(C10&lt;=0,"nav iespējams",ROUNDUP(Rezultāti!$C$5/C10,0))</f>
        <v>298</v>
      </c>
      <c r="E10" s="99">
        <f>Rezultāti!$C$24*C10-Rezultāti!$C$5</f>
        <v>3225</v>
      </c>
    </row>
    <row r="11" spans="1:5" ht="19" x14ac:dyDescent="0.25">
      <c r="A11" s="166">
        <v>0.05</v>
      </c>
      <c r="B11" s="92">
        <f>Rezultāti!$C$6*(1+A11)</f>
        <v>83.055000000000007</v>
      </c>
      <c r="C11" s="56">
        <f>B11-Rezultāti!$C$7</f>
        <v>35.454999999999998</v>
      </c>
      <c r="D11" s="88">
        <f>IF(C11&lt;=0,"nav iespējams",ROUNDUP(Rezultāti!$C$5/C11,0))</f>
        <v>265</v>
      </c>
      <c r="E11" s="98">
        <f>Rezultāti!$C$24*C11-Rezultāti!$C$5</f>
        <v>4807</v>
      </c>
    </row>
    <row r="12" spans="1:5" ht="19" x14ac:dyDescent="0.25">
      <c r="A12" s="166">
        <v>0.1</v>
      </c>
      <c r="B12" s="92">
        <f>Rezultāti!$C$6*(1+A12)</f>
        <v>87.010000000000019</v>
      </c>
      <c r="C12" s="56">
        <f>B12-Rezultāti!$C$7</f>
        <v>39.410000000000011</v>
      </c>
      <c r="D12" s="88">
        <f>IF(C12&lt;=0,"nav iespējams",ROUNDUP(Rezultāti!$C$5/C12,0))</f>
        <v>238</v>
      </c>
      <c r="E12" s="98">
        <f>Rezultāti!$C$24*C12-Rezultāti!$C$5</f>
        <v>6389.0000000000036</v>
      </c>
    </row>
    <row r="13" spans="1:5" ht="19" x14ac:dyDescent="0.25">
      <c r="A13" s="166">
        <v>0.15</v>
      </c>
      <c r="B13" s="92">
        <f>Rezultāti!$C$6*(1+A13)</f>
        <v>90.965000000000003</v>
      </c>
      <c r="C13" s="56">
        <f>B13-Rezultāti!$C$7</f>
        <v>43.364999999999995</v>
      </c>
      <c r="D13" s="88">
        <f>IF(C13&lt;=0,"nav iespējams",ROUNDUP(Rezultāti!$C$5/C13,0))</f>
        <v>217</v>
      </c>
      <c r="E13" s="98">
        <f>Rezultāti!$C$24*C13-Rezultāti!$C$5</f>
        <v>7970.9999999999964</v>
      </c>
    </row>
    <row r="14" spans="1:5" ht="19" x14ac:dyDescent="0.25">
      <c r="A14" s="167">
        <v>0.2</v>
      </c>
      <c r="B14" s="100">
        <f>Rezultāti!$C$6*(1+A14)</f>
        <v>94.92</v>
      </c>
      <c r="C14" s="101">
        <f>B14-Rezultāti!$C$7</f>
        <v>47.319999999999993</v>
      </c>
      <c r="D14" s="102">
        <f>IF(C14&lt;=0,"nav iespējams",ROUNDUP(Rezultāti!$C$5/C14,0))</f>
        <v>199</v>
      </c>
      <c r="E14" s="103">
        <f>Rezultāti!$C$24*C14-Rezultāti!$C$5</f>
        <v>9552.9999999999964</v>
      </c>
    </row>
    <row r="15" spans="1:5" ht="19" x14ac:dyDescent="0.25">
      <c r="A15" s="9" t="s">
        <v>159</v>
      </c>
    </row>
    <row r="17" spans="1:5" ht="48" customHeight="1" x14ac:dyDescent="0.2">
      <c r="A17" s="177" t="s">
        <v>100</v>
      </c>
      <c r="B17" s="178"/>
      <c r="C17" s="178"/>
      <c r="D17" s="178"/>
      <c r="E17" s="179"/>
    </row>
    <row r="18" spans="1:5" ht="19" x14ac:dyDescent="0.25">
      <c r="A18" s="10" t="s">
        <v>101</v>
      </c>
      <c r="B18" s="91">
        <f>MAX(1,ROUND(Rezultāti!C11/5,0))</f>
        <v>60</v>
      </c>
    </row>
    <row r="19" spans="1:5" ht="48" customHeight="1" x14ac:dyDescent="0.2">
      <c r="A19" s="52" t="s">
        <v>102</v>
      </c>
      <c r="B19" s="52" t="s">
        <v>103</v>
      </c>
      <c r="C19" s="52" t="s">
        <v>104</v>
      </c>
      <c r="D19" s="52" t="s">
        <v>105</v>
      </c>
      <c r="E19" s="52" t="s">
        <v>106</v>
      </c>
    </row>
    <row r="20" spans="1:5" ht="19" x14ac:dyDescent="0.25">
      <c r="A20" s="109">
        <v>0</v>
      </c>
      <c r="B20" s="110">
        <f>A20*Rezultāti!$C$6</f>
        <v>0</v>
      </c>
      <c r="C20" s="110">
        <f>A20*Rezultāti!$C$7+Rezultāti!$C$5</f>
        <v>9375</v>
      </c>
      <c r="D20" s="111">
        <f t="shared" ref="D20:D30" si="0">B20-C20</f>
        <v>-9375</v>
      </c>
      <c r="E20" s="112" t="str">
        <f t="shared" ref="E20:E30" si="1">IF(A20=0,"Nav pārdošanas",IF(D20&gt;=0,"Peļņa","Zaudējumi"))</f>
        <v>Nav pārdošanas</v>
      </c>
    </row>
    <row r="21" spans="1:5" ht="19" x14ac:dyDescent="0.25">
      <c r="A21" s="104">
        <f t="shared" ref="A21:A30" si="2">A20+$B$18</f>
        <v>60</v>
      </c>
      <c r="B21" s="56">
        <f>A21*Rezultāti!$C$6</f>
        <v>4746.0000000000009</v>
      </c>
      <c r="C21" s="56">
        <f>A21*Rezultāti!$C$7+Rezultāti!$C$5</f>
        <v>12231</v>
      </c>
      <c r="D21" s="11">
        <f t="shared" si="0"/>
        <v>-7484.9999999999991</v>
      </c>
      <c r="E21" s="105" t="str">
        <f t="shared" si="1"/>
        <v>Zaudējumi</v>
      </c>
    </row>
    <row r="22" spans="1:5" ht="19" x14ac:dyDescent="0.25">
      <c r="A22" s="104">
        <f t="shared" si="2"/>
        <v>120</v>
      </c>
      <c r="B22" s="56">
        <f>A22*Rezultāti!$C$6</f>
        <v>9492.0000000000018</v>
      </c>
      <c r="C22" s="56">
        <f>A22*Rezultāti!$C$7+Rezultāti!$C$5</f>
        <v>15087</v>
      </c>
      <c r="D22" s="11">
        <f t="shared" si="0"/>
        <v>-5594.9999999999982</v>
      </c>
      <c r="E22" s="105" t="str">
        <f t="shared" si="1"/>
        <v>Zaudējumi</v>
      </c>
    </row>
    <row r="23" spans="1:5" ht="19" x14ac:dyDescent="0.25">
      <c r="A23" s="104">
        <f t="shared" si="2"/>
        <v>180</v>
      </c>
      <c r="B23" s="56">
        <f>A23*Rezultāti!$C$6</f>
        <v>14238.000000000002</v>
      </c>
      <c r="C23" s="56">
        <f>A23*Rezultāti!$C$7+Rezultāti!$C$5</f>
        <v>17943</v>
      </c>
      <c r="D23" s="11">
        <f t="shared" si="0"/>
        <v>-3704.9999999999982</v>
      </c>
      <c r="E23" s="105" t="str">
        <f t="shared" si="1"/>
        <v>Zaudējumi</v>
      </c>
    </row>
    <row r="24" spans="1:5" ht="19" x14ac:dyDescent="0.25">
      <c r="A24" s="104">
        <f t="shared" si="2"/>
        <v>240</v>
      </c>
      <c r="B24" s="56">
        <f>A24*Rezultāti!$C$6</f>
        <v>18984.000000000004</v>
      </c>
      <c r="C24" s="56">
        <f>A24*Rezultāti!$C$7+Rezultāti!$C$5</f>
        <v>20799</v>
      </c>
      <c r="D24" s="11">
        <f t="shared" si="0"/>
        <v>-1814.9999999999964</v>
      </c>
      <c r="E24" s="105" t="str">
        <f t="shared" si="1"/>
        <v>Zaudējumi</v>
      </c>
    </row>
    <row r="25" spans="1:5" ht="19" x14ac:dyDescent="0.25">
      <c r="A25" s="104">
        <f t="shared" si="2"/>
        <v>300</v>
      </c>
      <c r="B25" s="56">
        <f>A25*Rezultāti!$C$6</f>
        <v>23730.000000000004</v>
      </c>
      <c r="C25" s="56">
        <f>A25*Rezultāti!$C$7+Rezultāti!$C$5</f>
        <v>23655</v>
      </c>
      <c r="D25" s="11">
        <f t="shared" si="0"/>
        <v>75.000000000003638</v>
      </c>
      <c r="E25" s="105" t="str">
        <f t="shared" si="1"/>
        <v>Peļņa</v>
      </c>
    </row>
    <row r="26" spans="1:5" ht="19" x14ac:dyDescent="0.25">
      <c r="A26" s="104">
        <f t="shared" si="2"/>
        <v>360</v>
      </c>
      <c r="B26" s="56">
        <f>A26*Rezultāti!$C$6</f>
        <v>28476.000000000004</v>
      </c>
      <c r="C26" s="56">
        <f>A26*Rezultāti!$C$7+Rezultāti!$C$5</f>
        <v>26511.000000000004</v>
      </c>
      <c r="D26" s="11">
        <f t="shared" si="0"/>
        <v>1965</v>
      </c>
      <c r="E26" s="105" t="str">
        <f t="shared" si="1"/>
        <v>Peļņa</v>
      </c>
    </row>
    <row r="27" spans="1:5" ht="19" x14ac:dyDescent="0.25">
      <c r="A27" s="104">
        <f t="shared" si="2"/>
        <v>420</v>
      </c>
      <c r="B27" s="56">
        <f>A27*Rezultāti!$C$6</f>
        <v>33222</v>
      </c>
      <c r="C27" s="56">
        <f>A27*Rezultāti!$C$7+Rezultāti!$C$5</f>
        <v>29367.000000000004</v>
      </c>
      <c r="D27" s="11">
        <f t="shared" si="0"/>
        <v>3854.9999999999964</v>
      </c>
      <c r="E27" s="105" t="str">
        <f t="shared" si="1"/>
        <v>Peļņa</v>
      </c>
    </row>
    <row r="28" spans="1:5" ht="19" x14ac:dyDescent="0.25">
      <c r="A28" s="104">
        <f t="shared" si="2"/>
        <v>480</v>
      </c>
      <c r="B28" s="56">
        <f>A28*Rezultāti!$C$6</f>
        <v>37968.000000000007</v>
      </c>
      <c r="C28" s="56">
        <f>A28*Rezultāti!$C$7+Rezultāti!$C$5</f>
        <v>32223.000000000004</v>
      </c>
      <c r="D28" s="11">
        <f t="shared" si="0"/>
        <v>5745.0000000000036</v>
      </c>
      <c r="E28" s="105" t="str">
        <f t="shared" si="1"/>
        <v>Peļņa</v>
      </c>
    </row>
    <row r="29" spans="1:5" ht="19" x14ac:dyDescent="0.25">
      <c r="A29" s="104">
        <f t="shared" si="2"/>
        <v>540</v>
      </c>
      <c r="B29" s="56">
        <f>A29*Rezultāti!$C$6</f>
        <v>42714.000000000007</v>
      </c>
      <c r="C29" s="56">
        <f>A29*Rezultāti!$C$7+Rezultāti!$C$5</f>
        <v>35079</v>
      </c>
      <c r="D29" s="11">
        <f t="shared" si="0"/>
        <v>7635.0000000000073</v>
      </c>
      <c r="E29" s="105" t="str">
        <f t="shared" si="1"/>
        <v>Peļņa</v>
      </c>
    </row>
    <row r="30" spans="1:5" ht="19" x14ac:dyDescent="0.25">
      <c r="A30" s="106">
        <f t="shared" si="2"/>
        <v>600</v>
      </c>
      <c r="B30" s="101">
        <f>A30*Rezultāti!$C$6</f>
        <v>47460.000000000007</v>
      </c>
      <c r="C30" s="101">
        <f>A30*Rezultāti!$C$7+Rezultāti!$C$5</f>
        <v>37935</v>
      </c>
      <c r="D30" s="107">
        <f t="shared" si="0"/>
        <v>9525.0000000000073</v>
      </c>
      <c r="E30" s="108" t="str">
        <f t="shared" si="1"/>
        <v>Peļņa</v>
      </c>
    </row>
  </sheetData>
  <mergeCells count="2">
    <mergeCell ref="A4:E4"/>
    <mergeCell ref="A17:E17"/>
  </mergeCells>
  <conditionalFormatting sqref="E20:E30">
    <cfRule type="cellIs" dxfId="3" priority="2" operator="equal">
      <formula>"Zaudējumi"</formula>
    </cfRule>
    <cfRule type="cellIs" dxfId="2" priority="3" operator="equal">
      <formula>"Peļņa"</formula>
    </cfRule>
  </conditionalFormatting>
  <pageMargins left="0.75" right="0.75" top="1" bottom="1" header="0.511811023622047" footer="0.511811023622047"/>
  <pageSetup fitToHeight="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7"/>
  <sheetViews>
    <sheetView showGridLines="0" zoomScaleNormal="100" workbookViewId="0">
      <pane xSplit="1" ySplit="4" topLeftCell="B5" activePane="bottomRight" state="frozen"/>
      <selection pane="topRight" activeCell="B1" sqref="B1"/>
      <selection pane="bottomLeft" activeCell="A5" sqref="A5"/>
      <selection pane="bottomRight" activeCell="E12" sqref="E12:N12"/>
    </sheetView>
  </sheetViews>
  <sheetFormatPr baseColWidth="10" defaultColWidth="8.6640625" defaultRowHeight="19" x14ac:dyDescent="0.25"/>
  <cols>
    <col min="1" max="1" width="53.6640625" style="8" customWidth="1"/>
    <col min="2" max="13" width="12.33203125" style="8" customWidth="1"/>
    <col min="14" max="14" width="12" style="8" customWidth="1"/>
    <col min="15" max="16384" width="8.6640625" style="8"/>
  </cols>
  <sheetData>
    <row r="1" spans="1:14" ht="26" x14ac:dyDescent="0.3">
      <c r="A1" s="87" t="s">
        <v>107</v>
      </c>
    </row>
    <row r="2" spans="1:14" x14ac:dyDescent="0.25">
      <c r="A2" s="152" t="s">
        <v>160</v>
      </c>
      <c r="B2" s="151"/>
      <c r="C2" s="151"/>
      <c r="D2" s="151"/>
      <c r="E2" s="151"/>
      <c r="F2" s="151"/>
    </row>
    <row r="4" spans="1:14" ht="30" customHeight="1" x14ac:dyDescent="0.25">
      <c r="A4" s="52" t="s">
        <v>108</v>
      </c>
      <c r="B4" s="134" t="s">
        <v>109</v>
      </c>
      <c r="C4" s="121" t="s">
        <v>110</v>
      </c>
      <c r="D4" s="121" t="s">
        <v>111</v>
      </c>
      <c r="E4" s="121" t="s">
        <v>112</v>
      </c>
      <c r="F4" s="121" t="s">
        <v>113</v>
      </c>
      <c r="G4" s="121" t="s">
        <v>114</v>
      </c>
      <c r="H4" s="121" t="s">
        <v>115</v>
      </c>
      <c r="I4" s="121" t="s">
        <v>116</v>
      </c>
      <c r="J4" s="121" t="s">
        <v>117</v>
      </c>
      <c r="K4" s="121" t="s">
        <v>118</v>
      </c>
      <c r="L4" s="121" t="s">
        <v>119</v>
      </c>
      <c r="M4" s="121" t="s">
        <v>120</v>
      </c>
      <c r="N4" s="122" t="s">
        <v>91</v>
      </c>
    </row>
    <row r="5" spans="1:14" x14ac:dyDescent="0.25">
      <c r="A5" s="127" t="s">
        <v>121</v>
      </c>
      <c r="B5" s="129">
        <v>220</v>
      </c>
      <c r="C5" s="130">
        <v>245</v>
      </c>
      <c r="D5" s="130">
        <v>270</v>
      </c>
      <c r="E5" s="130">
        <v>290</v>
      </c>
      <c r="F5" s="130">
        <v>310</v>
      </c>
      <c r="G5" s="130">
        <v>330</v>
      </c>
      <c r="H5" s="130">
        <v>310</v>
      </c>
      <c r="I5" s="130">
        <v>290</v>
      </c>
      <c r="J5" s="130">
        <v>340</v>
      </c>
      <c r="K5" s="130">
        <v>360</v>
      </c>
      <c r="L5" s="130">
        <v>380</v>
      </c>
      <c r="M5" s="130">
        <v>410</v>
      </c>
      <c r="N5" s="120">
        <f>SUM(B5:M5)</f>
        <v>3755</v>
      </c>
    </row>
    <row r="6" spans="1:14" x14ac:dyDescent="0.25">
      <c r="A6" s="14" t="s">
        <v>103</v>
      </c>
      <c r="B6" s="123">
        <f>B5*Rezultāti!$C$6</f>
        <v>17402.000000000004</v>
      </c>
      <c r="C6" s="113">
        <f>C5*Rezultāti!$C$6</f>
        <v>19379.500000000004</v>
      </c>
      <c r="D6" s="113">
        <f>D5*Rezultāti!$C$6</f>
        <v>21357.000000000004</v>
      </c>
      <c r="E6" s="113">
        <f>E5*Rezultāti!$C$6</f>
        <v>22939.000000000004</v>
      </c>
      <c r="F6" s="113">
        <f>F5*Rezultāti!$C$6</f>
        <v>24521.000000000004</v>
      </c>
      <c r="G6" s="113">
        <f>G5*Rezultāti!$C$6</f>
        <v>26103.000000000004</v>
      </c>
      <c r="H6" s="113">
        <f>H5*Rezultāti!$C$6</f>
        <v>24521.000000000004</v>
      </c>
      <c r="I6" s="113">
        <f>I5*Rezultāti!$C$6</f>
        <v>22939.000000000004</v>
      </c>
      <c r="J6" s="113">
        <f>J5*Rezultāti!$C$6</f>
        <v>26894.000000000004</v>
      </c>
      <c r="K6" s="113">
        <f>K5*Rezultāti!$C$6</f>
        <v>28476.000000000004</v>
      </c>
      <c r="L6" s="113">
        <f>L5*Rezultāti!$C$6</f>
        <v>30058.000000000004</v>
      </c>
      <c r="M6" s="113">
        <f>M5*Rezultāti!$C$6</f>
        <v>32431.000000000004</v>
      </c>
      <c r="N6" s="116">
        <f>SUM(B6:M6)</f>
        <v>297020.50000000006</v>
      </c>
    </row>
    <row r="7" spans="1:14" x14ac:dyDescent="0.25">
      <c r="A7" s="14" t="s">
        <v>104</v>
      </c>
      <c r="B7" s="123">
        <f>B5*Rezultāti!$C$7+Rezultāti!$C$5</f>
        <v>19847</v>
      </c>
      <c r="C7" s="113">
        <f>C5*Rezultāti!$C$7+Rezultāti!$C$5</f>
        <v>21037</v>
      </c>
      <c r="D7" s="113">
        <f>D5*Rezultāti!$C$7+Rezultāti!$C$5</f>
        <v>22227</v>
      </c>
      <c r="E7" s="113">
        <f>E5*Rezultāti!$C$7+Rezultāti!$C$5</f>
        <v>23179</v>
      </c>
      <c r="F7" s="113">
        <f>F5*Rezultāti!$C$7+Rezultāti!$C$5</f>
        <v>24131</v>
      </c>
      <c r="G7" s="113">
        <f>G5*Rezultāti!$C$7+Rezultāti!$C$5</f>
        <v>25083.000000000004</v>
      </c>
      <c r="H7" s="113">
        <f>H5*Rezultāti!$C$7+Rezultāti!$C$5</f>
        <v>24131</v>
      </c>
      <c r="I7" s="113">
        <f>I5*Rezultāti!$C$7+Rezultāti!$C$5</f>
        <v>23179</v>
      </c>
      <c r="J7" s="113">
        <f>J5*Rezultāti!$C$7+Rezultāti!$C$5</f>
        <v>25559.000000000004</v>
      </c>
      <c r="K7" s="113">
        <f>K5*Rezultāti!$C$7+Rezultāti!$C$5</f>
        <v>26511.000000000004</v>
      </c>
      <c r="L7" s="113">
        <f>L5*Rezultāti!$C$7+Rezultāti!$C$5</f>
        <v>27463.000000000004</v>
      </c>
      <c r="M7" s="113">
        <f>M5*Rezultāti!$C$7+Rezultāti!$C$5</f>
        <v>28891.000000000004</v>
      </c>
      <c r="N7" s="116">
        <f>SUM(B7:M7)</f>
        <v>291238</v>
      </c>
    </row>
    <row r="8" spans="1:14" x14ac:dyDescent="0.25">
      <c r="A8" s="128" t="s">
        <v>122</v>
      </c>
      <c r="B8" s="124">
        <f t="shared" ref="B8:M8" si="0">B6-B7</f>
        <v>-2444.9999999999964</v>
      </c>
      <c r="C8" s="114">
        <f t="shared" si="0"/>
        <v>-1657.4999999999964</v>
      </c>
      <c r="D8" s="114">
        <f t="shared" si="0"/>
        <v>-869.99999999999636</v>
      </c>
      <c r="E8" s="114">
        <f t="shared" si="0"/>
        <v>-239.99999999999636</v>
      </c>
      <c r="F8" s="114">
        <f t="shared" si="0"/>
        <v>390.00000000000364</v>
      </c>
      <c r="G8" s="114">
        <f t="shared" si="0"/>
        <v>1020</v>
      </c>
      <c r="H8" s="114">
        <f t="shared" si="0"/>
        <v>390.00000000000364</v>
      </c>
      <c r="I8" s="114">
        <f t="shared" si="0"/>
        <v>-239.99999999999636</v>
      </c>
      <c r="J8" s="114">
        <f t="shared" si="0"/>
        <v>1335</v>
      </c>
      <c r="K8" s="114">
        <f t="shared" si="0"/>
        <v>1965</v>
      </c>
      <c r="L8" s="114">
        <f t="shared" si="0"/>
        <v>2595</v>
      </c>
      <c r="M8" s="114">
        <f t="shared" si="0"/>
        <v>3540</v>
      </c>
      <c r="N8" s="117">
        <f>SUM(B8:M8)</f>
        <v>5782.5000000000255</v>
      </c>
    </row>
    <row r="9" spans="1:14" x14ac:dyDescent="0.25">
      <c r="A9" s="14" t="s">
        <v>123</v>
      </c>
      <c r="B9" s="125">
        <f>B8</f>
        <v>-2444.9999999999964</v>
      </c>
      <c r="C9" s="115">
        <f t="shared" ref="C9:M9" si="1">B9+C8</f>
        <v>-4102.4999999999927</v>
      </c>
      <c r="D9" s="115">
        <f t="shared" si="1"/>
        <v>-4972.4999999999891</v>
      </c>
      <c r="E9" s="115">
        <f t="shared" si="1"/>
        <v>-5212.4999999999854</v>
      </c>
      <c r="F9" s="115">
        <f t="shared" si="1"/>
        <v>-4822.4999999999818</v>
      </c>
      <c r="G9" s="115">
        <f t="shared" si="1"/>
        <v>-3802.4999999999818</v>
      </c>
      <c r="H9" s="115">
        <f t="shared" si="1"/>
        <v>-3412.4999999999782</v>
      </c>
      <c r="I9" s="115">
        <f t="shared" si="1"/>
        <v>-3652.4999999999745</v>
      </c>
      <c r="J9" s="115">
        <f t="shared" si="1"/>
        <v>-2317.4999999999745</v>
      </c>
      <c r="K9" s="115">
        <f t="shared" si="1"/>
        <v>-352.49999999997453</v>
      </c>
      <c r="L9" s="115">
        <f t="shared" si="1"/>
        <v>2242.5000000000255</v>
      </c>
      <c r="M9" s="115">
        <f t="shared" si="1"/>
        <v>5782.5000000000255</v>
      </c>
      <c r="N9" s="116">
        <f>M9</f>
        <v>5782.5000000000255</v>
      </c>
    </row>
    <row r="10" spans="1:14" x14ac:dyDescent="0.25">
      <c r="A10" s="18" t="s">
        <v>124</v>
      </c>
      <c r="B10" s="126" t="str">
        <f t="shared" ref="B10:M10" si="2">IF(B8&gt;=0,"Jā","Nē")</f>
        <v>Nē</v>
      </c>
      <c r="C10" s="118" t="str">
        <f t="shared" si="2"/>
        <v>Nē</v>
      </c>
      <c r="D10" s="118" t="str">
        <f t="shared" si="2"/>
        <v>Nē</v>
      </c>
      <c r="E10" s="118" t="str">
        <f t="shared" si="2"/>
        <v>Nē</v>
      </c>
      <c r="F10" s="118" t="str">
        <f t="shared" si="2"/>
        <v>Jā</v>
      </c>
      <c r="G10" s="118" t="str">
        <f t="shared" si="2"/>
        <v>Jā</v>
      </c>
      <c r="H10" s="118" t="str">
        <f t="shared" si="2"/>
        <v>Jā</v>
      </c>
      <c r="I10" s="118" t="str">
        <f t="shared" si="2"/>
        <v>Nē</v>
      </c>
      <c r="J10" s="118" t="str">
        <f t="shared" si="2"/>
        <v>Jā</v>
      </c>
      <c r="K10" s="118" t="str">
        <f t="shared" si="2"/>
        <v>Jā</v>
      </c>
      <c r="L10" s="118" t="str">
        <f t="shared" si="2"/>
        <v>Jā</v>
      </c>
      <c r="M10" s="118" t="str">
        <f t="shared" si="2"/>
        <v>Jā</v>
      </c>
      <c r="N10" s="119"/>
    </row>
    <row r="12" spans="1:14" ht="54" customHeight="1" x14ac:dyDescent="0.25">
      <c r="A12" s="177" t="s">
        <v>125</v>
      </c>
      <c r="B12" s="178"/>
      <c r="C12" s="178"/>
      <c r="D12" s="179"/>
      <c r="E12" s="168"/>
      <c r="F12" s="168"/>
      <c r="G12" s="168"/>
      <c r="H12" s="168"/>
      <c r="I12" s="168"/>
      <c r="J12" s="168"/>
      <c r="K12" s="168"/>
      <c r="L12" s="168"/>
      <c r="M12" s="168"/>
      <c r="N12" s="168"/>
    </row>
    <row r="13" spans="1:14" x14ac:dyDescent="0.25">
      <c r="A13" s="12" t="s">
        <v>126</v>
      </c>
      <c r="B13" s="180" t="str">
        <f>IFERROR(INDEX($B$4:$M$4,MATCH("Jā",$B$10:$M$10,0)),"Nav sasniegts 12 mēnešu laikā")</f>
        <v>Maijs</v>
      </c>
      <c r="C13" s="181"/>
      <c r="D13" s="182"/>
    </row>
    <row r="14" spans="1:14" x14ac:dyDescent="0.25">
      <c r="A14" s="12" t="s">
        <v>127</v>
      </c>
      <c r="B14" s="124">
        <f>N8</f>
        <v>5782.5000000000255</v>
      </c>
      <c r="D14" s="131"/>
    </row>
    <row r="15" spans="1:14" x14ac:dyDescent="0.25">
      <c r="A15" s="63" t="s">
        <v>128</v>
      </c>
      <c r="B15" s="135">
        <f>Rezultāti!C14</f>
        <v>3576</v>
      </c>
      <c r="C15" s="132"/>
      <c r="D15" s="133"/>
    </row>
    <row r="17" spans="1:1" x14ac:dyDescent="0.25">
      <c r="A17" s="9" t="s">
        <v>129</v>
      </c>
    </row>
  </sheetData>
  <mergeCells count="2">
    <mergeCell ref="B13:D13"/>
    <mergeCell ref="A12:D12"/>
  </mergeCells>
  <conditionalFormatting sqref="B10:M10">
    <cfRule type="cellIs" dxfId="1" priority="2" operator="equal">
      <formula>"Nē"</formula>
    </cfRule>
    <cfRule type="cellIs" dxfId="0" priority="3" operator="equal">
      <formula>"Jā"</formula>
    </cfRule>
  </conditionalFormatting>
  <pageMargins left="0.75" right="0.75" top="1" bottom="1" header="0.511811023622047" footer="0.511811023622047"/>
  <pageSetup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Sākums</vt:lpstr>
      <vt:lpstr>Fiksētās izmaksas</vt:lpstr>
      <vt:lpstr>Cenu aprēķins</vt:lpstr>
      <vt:lpstr>Rezultāti</vt:lpstr>
      <vt:lpstr>Scenāriji</vt:lpstr>
      <vt:lpstr>12 mēnešu plāns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Linda Kimeisa</cp:lastModifiedBy>
  <cp:revision>1</cp:revision>
  <dcterms:created xsi:type="dcterms:W3CDTF">2026-09-23T17:59:33Z</dcterms:created>
  <dcterms:modified xsi:type="dcterms:W3CDTF">2026-10-05T12:15:07Z</dcterms:modified>
  <dc:language>en-US</dc:language>
</cp:coreProperties>
</file>